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defaultThemeVersion="166925"/>
  <mc:AlternateContent xmlns:mc="http://schemas.openxmlformats.org/markup-compatibility/2006">
    <mc:Choice Requires="x15">
      <x15ac:absPath xmlns:x15ac="http://schemas.microsoft.com/office/spreadsheetml/2010/11/ac" url="C:\Users\Dell\Desktop\"/>
    </mc:Choice>
  </mc:AlternateContent>
  <xr:revisionPtr revIDLastSave="0" documentId="13_ncr:1_{088CA087-ADDE-4551-840F-AC2731960884}" xr6:coauthVersionLast="45" xr6:coauthVersionMax="45" xr10:uidLastSave="{00000000-0000-0000-0000-000000000000}"/>
  <bookViews>
    <workbookView xWindow="-120" yWindow="-120" windowWidth="29040" windowHeight="15840" activeTab="3" xr2:uid="{BFF3FA7C-B642-4EE7-A7C8-7E7DA955209B}"/>
  </bookViews>
  <sheets>
    <sheet name="Дундговь ТГМ" sheetId="1" r:id="rId1"/>
    <sheet name="Дундговь 5 сарын цалин" sheetId="2" r:id="rId2"/>
    <sheet name="өглөгийн мэдээ" sheetId="3" r:id="rId3"/>
    <sheet name="орлого"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Z39" i="2" l="1"/>
  <c r="Y39" i="2"/>
  <c r="X39" i="2"/>
  <c r="W39" i="2"/>
  <c r="S39" i="2"/>
  <c r="R39" i="2"/>
  <c r="Q39" i="2"/>
  <c r="N39" i="2"/>
  <c r="K39" i="2"/>
  <c r="F39" i="2"/>
  <c r="E39" i="2"/>
  <c r="T38" i="2"/>
  <c r="T37" i="2"/>
  <c r="J36" i="2"/>
  <c r="H36" i="2"/>
  <c r="T36" i="2" s="1"/>
  <c r="AB35" i="2"/>
  <c r="J35" i="2"/>
  <c r="H35" i="2"/>
  <c r="T35" i="2" s="1"/>
  <c r="U35" i="2" s="1"/>
  <c r="AA35" i="2" s="1"/>
  <c r="J34" i="2"/>
  <c r="H34" i="2"/>
  <c r="T34" i="2" s="1"/>
  <c r="U34" i="2" s="1"/>
  <c r="L33" i="2"/>
  <c r="J33" i="2"/>
  <c r="H33" i="2"/>
  <c r="T33" i="2" s="1"/>
  <c r="U32" i="2"/>
  <c r="L32" i="2"/>
  <c r="L39" i="2" s="1"/>
  <c r="J32" i="2"/>
  <c r="T32" i="2" s="1"/>
  <c r="T31" i="2"/>
  <c r="J31" i="2"/>
  <c r="H31" i="2"/>
  <c r="J30" i="2"/>
  <c r="T30" i="2" s="1"/>
  <c r="H30" i="2"/>
  <c r="J29" i="2"/>
  <c r="H29" i="2"/>
  <c r="T29" i="2" s="1"/>
  <c r="J28" i="2"/>
  <c r="H28" i="2"/>
  <c r="T28" i="2" s="1"/>
  <c r="J27" i="2"/>
  <c r="H27" i="2"/>
  <c r="T27" i="2" s="1"/>
  <c r="J26" i="2"/>
  <c r="H26" i="2"/>
  <c r="T26" i="2" s="1"/>
  <c r="J25" i="2"/>
  <c r="H25" i="2"/>
  <c r="T25" i="2" s="1"/>
  <c r="U25" i="2" s="1"/>
  <c r="U24" i="2"/>
  <c r="P24" i="2"/>
  <c r="J24" i="2"/>
  <c r="H24" i="2"/>
  <c r="T24" i="2" s="1"/>
  <c r="J23" i="2"/>
  <c r="H23" i="2"/>
  <c r="T23" i="2" s="1"/>
  <c r="T22" i="2"/>
  <c r="J22" i="2"/>
  <c r="H22" i="2"/>
  <c r="T21" i="2"/>
  <c r="J21" i="2"/>
  <c r="H21" i="2"/>
  <c r="T20" i="2"/>
  <c r="J19" i="2"/>
  <c r="H19" i="2"/>
  <c r="T19" i="2" s="1"/>
  <c r="J18" i="2"/>
  <c r="H18" i="2"/>
  <c r="T18" i="2" s="1"/>
  <c r="U18" i="2" s="1"/>
  <c r="U17" i="2"/>
  <c r="AA17" i="2" s="1"/>
  <c r="AB17" i="2" s="1"/>
  <c r="T17" i="2"/>
  <c r="J17" i="2"/>
  <c r="H17" i="2"/>
  <c r="P16" i="2"/>
  <c r="T16" i="2" s="1"/>
  <c r="N16" i="2"/>
  <c r="J16" i="2"/>
  <c r="H16" i="2"/>
  <c r="T15" i="2"/>
  <c r="J15" i="2"/>
  <c r="H15" i="2"/>
  <c r="J14" i="2"/>
  <c r="T14" i="2" s="1"/>
  <c r="H14" i="2"/>
  <c r="P13" i="2"/>
  <c r="P39" i="2" s="1"/>
  <c r="J13" i="2"/>
  <c r="H13" i="2"/>
  <c r="J12" i="2"/>
  <c r="H12" i="2"/>
  <c r="T12" i="2" s="1"/>
  <c r="J11" i="2"/>
  <c r="T11" i="2" s="1"/>
  <c r="H11" i="2"/>
  <c r="J10" i="2"/>
  <c r="H10" i="2"/>
  <c r="T10" i="2" s="1"/>
  <c r="J9" i="2"/>
  <c r="H9" i="2"/>
  <c r="U11" i="2" l="1"/>
  <c r="V12" i="2"/>
  <c r="U12" i="2"/>
  <c r="AA34" i="2"/>
  <c r="AB34" i="2" s="1"/>
  <c r="U29" i="2"/>
  <c r="U16" i="2"/>
  <c r="V14" i="2"/>
  <c r="U14" i="2"/>
  <c r="U30" i="2"/>
  <c r="U28" i="2"/>
  <c r="T13" i="2"/>
  <c r="U21" i="2"/>
  <c r="U26" i="2"/>
  <c r="V32" i="2"/>
  <c r="AA32" i="2" s="1"/>
  <c r="AB32" i="2" s="1"/>
  <c r="U36" i="2"/>
  <c r="V21" i="2"/>
  <c r="U23" i="2"/>
  <c r="V24" i="2"/>
  <c r="AA24" i="2" s="1"/>
  <c r="AB24" i="2" s="1"/>
  <c r="U15" i="2"/>
  <c r="V23" i="2"/>
  <c r="V34" i="2"/>
  <c r="U10" i="2"/>
  <c r="V15" i="2"/>
  <c r="V20" i="2"/>
  <c r="U31" i="2"/>
  <c r="U37" i="2"/>
  <c r="V18" i="2"/>
  <c r="AA18" i="2" s="1"/>
  <c r="AB18" i="2" s="1"/>
  <c r="U20" i="2"/>
  <c r="U27" i="2"/>
  <c r="V31" i="2"/>
  <c r="V37" i="2"/>
  <c r="U22" i="2"/>
  <c r="V25" i="2"/>
  <c r="AA25" i="2" s="1"/>
  <c r="AB25" i="2" s="1"/>
  <c r="U33" i="2"/>
  <c r="T9" i="2"/>
  <c r="H39" i="2"/>
  <c r="V19" i="2"/>
  <c r="U19" i="2"/>
  <c r="J39" i="2"/>
  <c r="U38" i="2"/>
  <c r="E13" i="3"/>
  <c r="AA33" i="2" l="1"/>
  <c r="AB33" i="2" s="1"/>
  <c r="AA36" i="2"/>
  <c r="AB36" i="2" s="1"/>
  <c r="AA28" i="2"/>
  <c r="AB28" i="2" s="1"/>
  <c r="AA29" i="2"/>
  <c r="AB29" i="2" s="1"/>
  <c r="V36" i="2"/>
  <c r="V28" i="2"/>
  <c r="V29" i="2"/>
  <c r="U9" i="2"/>
  <c r="T39" i="2"/>
  <c r="V27" i="2"/>
  <c r="AA27" i="2" s="1"/>
  <c r="AB27" i="2" s="1"/>
  <c r="V33" i="2"/>
  <c r="AA15" i="2"/>
  <c r="AB15" i="2" s="1"/>
  <c r="AA16" i="2"/>
  <c r="AB16" i="2" s="1"/>
  <c r="V11" i="2"/>
  <c r="AA11" i="2" s="1"/>
  <c r="AB11" i="2" s="1"/>
  <c r="AA22" i="2"/>
  <c r="AB22" i="2" s="1"/>
  <c r="AA20" i="2"/>
  <c r="AB20" i="2" s="1"/>
  <c r="AA10" i="2"/>
  <c r="AB10" i="2" s="1"/>
  <c r="AA30" i="2"/>
  <c r="AB30" i="2" s="1"/>
  <c r="V16" i="2"/>
  <c r="V22" i="2"/>
  <c r="V10" i="2"/>
  <c r="AA23" i="2"/>
  <c r="AB23" i="2" s="1"/>
  <c r="V26" i="2"/>
  <c r="AA26" i="2" s="1"/>
  <c r="AB26" i="2" s="1"/>
  <c r="V30" i="2"/>
  <c r="AA37" i="2"/>
  <c r="AB37" i="2" s="1"/>
  <c r="AA21" i="2"/>
  <c r="AB21" i="2" s="1"/>
  <c r="AA19" i="2"/>
  <c r="AB19" i="2" s="1"/>
  <c r="V38" i="2"/>
  <c r="AA38" i="2" s="1"/>
  <c r="AB38" i="2" s="1"/>
  <c r="AA31" i="2"/>
  <c r="AB31" i="2" s="1"/>
  <c r="V13" i="2"/>
  <c r="U13" i="2"/>
  <c r="AA14" i="2"/>
  <c r="AB14" i="2" s="1"/>
  <c r="AA12" i="2"/>
  <c r="AB12" i="2" s="1"/>
  <c r="D80" i="1"/>
  <c r="B70" i="1"/>
  <c r="D63" i="1"/>
  <c r="C63" i="1"/>
  <c r="B63" i="1"/>
  <c r="C62" i="1"/>
  <c r="D62" i="1" s="1"/>
  <c r="B62" i="1"/>
  <c r="C60" i="1"/>
  <c r="B60" i="1"/>
  <c r="C59" i="1"/>
  <c r="B59" i="1"/>
  <c r="D55" i="1"/>
  <c r="D54" i="1"/>
  <c r="D53" i="1"/>
  <c r="C53" i="1"/>
  <c r="B53" i="1"/>
  <c r="D52" i="1"/>
  <c r="D51" i="1"/>
  <c r="D50" i="1"/>
  <c r="D49" i="1"/>
  <c r="D48" i="1"/>
  <c r="D47" i="1"/>
  <c r="D44" i="1" s="1"/>
  <c r="D46" i="1"/>
  <c r="D45" i="1"/>
  <c r="C44" i="1"/>
  <c r="B44" i="1"/>
  <c r="D42" i="1"/>
  <c r="D40" i="1"/>
  <c r="C40" i="1"/>
  <c r="B40" i="1"/>
  <c r="D39" i="1"/>
  <c r="D36" i="1"/>
  <c r="C36" i="1"/>
  <c r="B36" i="1"/>
  <c r="D33" i="1"/>
  <c r="C33" i="1"/>
  <c r="B33" i="1"/>
  <c r="D32" i="1"/>
  <c r="D31" i="1"/>
  <c r="D30" i="1"/>
  <c r="D29" i="1"/>
  <c r="D28" i="1"/>
  <c r="D27" i="1"/>
  <c r="D26" i="1"/>
  <c r="C26" i="1"/>
  <c r="C7" i="1" s="1"/>
  <c r="B26" i="1"/>
  <c r="D25" i="1"/>
  <c r="D24" i="1"/>
  <c r="D23" i="1"/>
  <c r="D22" i="1"/>
  <c r="D21" i="1" s="1"/>
  <c r="C21" i="1"/>
  <c r="B21" i="1"/>
  <c r="C20" i="1"/>
  <c r="B20" i="1"/>
  <c r="D20" i="1" s="1"/>
  <c r="C19" i="1"/>
  <c r="B19" i="1"/>
  <c r="D19" i="1" s="1"/>
  <c r="C18" i="1"/>
  <c r="D18" i="1" s="1"/>
  <c r="B18" i="1"/>
  <c r="C17" i="1"/>
  <c r="D17" i="1" s="1"/>
  <c r="B17" i="1"/>
  <c r="C16" i="1"/>
  <c r="B16" i="1"/>
  <c r="D16" i="1" s="1"/>
  <c r="D15" i="1"/>
  <c r="D14" i="1"/>
  <c r="D13" i="1"/>
  <c r="D12" i="1"/>
  <c r="D11" i="1"/>
  <c r="D10" i="1"/>
  <c r="C10" i="1"/>
  <c r="C9" i="1" s="1"/>
  <c r="B10" i="1"/>
  <c r="B9" i="1" s="1"/>
  <c r="D9" i="1" s="1"/>
  <c r="B7" i="1"/>
  <c r="D7" i="1" s="1"/>
  <c r="U39" i="2" l="1"/>
  <c r="V9" i="2"/>
  <c r="V39" i="2" s="1"/>
  <c r="AA13" i="2"/>
  <c r="AB13" i="2" s="1"/>
  <c r="B69" i="1"/>
  <c r="C8" i="1"/>
  <c r="C69" i="1"/>
  <c r="C68" i="1" s="1"/>
  <c r="C67" i="1" s="1"/>
  <c r="B8" i="1"/>
  <c r="D8" i="1" s="1"/>
  <c r="AA9" i="2" l="1"/>
  <c r="B68" i="1"/>
  <c r="B67" i="1" s="1"/>
  <c r="D67" i="1" s="1"/>
  <c r="D69" i="1"/>
  <c r="D68" i="1" s="1"/>
  <c r="AA39" i="2" l="1"/>
  <c r="AB9" i="2"/>
  <c r="AB39" i="2" s="1"/>
</calcChain>
</file>

<file path=xl/sharedStrings.xml><?xml version="1.0" encoding="utf-8"?>
<sst xmlns="http://schemas.openxmlformats.org/spreadsheetml/2006/main" count="225" uniqueCount="189">
  <si>
    <r>
      <t>ТӨСВИЙН ГҮЙЦЭТГЭЛИЙН 2020 оны 05 САРЫН МЭДЭЭ    /</t>
    </r>
    <r>
      <rPr>
        <sz val="12"/>
        <color theme="3" tint="-0.499984740745262"/>
        <rFont val="Times New Roman"/>
        <family val="1"/>
        <charset val="204"/>
      </rPr>
      <t>өссөн дүнгээр</t>
    </r>
    <r>
      <rPr>
        <b/>
        <sz val="12"/>
        <color theme="3" tint="-0.499984740745262"/>
        <rFont val="Times New Roman"/>
        <family val="1"/>
        <charset val="204"/>
      </rPr>
      <t>/</t>
    </r>
  </si>
  <si>
    <t>Байгууллагын нэр: Дундговь Татварын хэлтэс</t>
  </si>
  <si>
    <t>/төгрөгөөр/</t>
  </si>
  <si>
    <t>Үзүүлэлт</t>
  </si>
  <si>
    <t>Төлөвлөгөө</t>
  </si>
  <si>
    <t>Гүйцэтгэл</t>
  </si>
  <si>
    <t>Хэтрэлт /Хэмнэлт</t>
  </si>
  <si>
    <t>Хэтрэлт  /хэмнэлтийн шалтгаан/</t>
  </si>
  <si>
    <t>Харилцах дансны оны эхний үлдэгдэл</t>
  </si>
  <si>
    <t xml:space="preserve">      НИЙТ ЗАРЛАГА ба ЦЭВЭР ЗЭЭЛИЙН ДЇН</t>
  </si>
  <si>
    <t xml:space="preserve">         УРСГАЛ ЗАРДАЛ</t>
  </si>
  <si>
    <t xml:space="preserve">         БАРАА, ЇЙЛЧИЛГЭЭНИЙ ЗАРДАЛ</t>
  </si>
  <si>
    <t xml:space="preserve">              Цалин, хєлс болон нэмэгдэл урамшил</t>
  </si>
  <si>
    <t xml:space="preserve">                   Їндсэн цалин</t>
  </si>
  <si>
    <t xml:space="preserve">                   Унаа хоолны Хєнгєлєлт</t>
  </si>
  <si>
    <t xml:space="preserve">                   Урамшуулал</t>
  </si>
  <si>
    <t>Нэмэгдэл цалин</t>
  </si>
  <si>
    <t>үр дүнгийн урамшуулал олгоогүй байгаа тул хэм</t>
  </si>
  <si>
    <t xml:space="preserve">            Ажил олгогчоос нийгмийн даатгалд тєлєх шимтгэл</t>
  </si>
  <si>
    <t xml:space="preserve">                                              Тэтгэврийн даатгал</t>
  </si>
  <si>
    <t xml:space="preserve">                                              Тэтгэмжийн даатгал</t>
  </si>
  <si>
    <t xml:space="preserve">                                              ЇОМШ-ний даатгал</t>
  </si>
  <si>
    <t xml:space="preserve">                                              Ажилгїйдлийн даатгал</t>
  </si>
  <si>
    <t xml:space="preserve">                                              Эрїїл мэндийн даатгал</t>
  </si>
  <si>
    <t xml:space="preserve">           Байр ашиглалттай холбоотой тогтмол зардал</t>
  </si>
  <si>
    <t xml:space="preserve">                                              Гэрэл, цахилгаан</t>
  </si>
  <si>
    <t xml:space="preserve">                                              Тїлш, халаалт</t>
  </si>
  <si>
    <t xml:space="preserve">                                              Цэвэр, бохир ус</t>
  </si>
  <si>
    <t xml:space="preserve">                                              Байрны тїрээс</t>
  </si>
  <si>
    <t xml:space="preserve">                                    Хангамж, бараа материалын зардал</t>
  </si>
  <si>
    <t xml:space="preserve">                                              Бичиг хэрэг</t>
  </si>
  <si>
    <t xml:space="preserve">                                              Тээвэр, шатахуун</t>
  </si>
  <si>
    <t xml:space="preserve">                                              Шуудан, холбоо, интернэтийн тєлбєр</t>
  </si>
  <si>
    <t xml:space="preserve">                                              Ном, хэвлэл</t>
  </si>
  <si>
    <t xml:space="preserve">                                              Хог хаягдал зайлуулах, хортон мэрэгчдийн устгал, ариутгал</t>
  </si>
  <si>
    <t xml:space="preserve">                                              Бага їнэтэй, тїргэн элэгдэх, ахуйн эд зїйлс</t>
  </si>
  <si>
    <t xml:space="preserve">                                    Нормативт зардал</t>
  </si>
  <si>
    <t xml:space="preserve">                                              Хоол, хїнс</t>
  </si>
  <si>
    <t xml:space="preserve">                                              Нормын хувцас, зєєлєн эдлэл</t>
  </si>
  <si>
    <t xml:space="preserve">                                    Эд хогшил, урсгал засварын зардал</t>
  </si>
  <si>
    <t xml:space="preserve">                                              Багаж, техник, хэрэгсэл</t>
  </si>
  <si>
    <t xml:space="preserve">                                              Хєдєлмєр хамгааллын хэрэглэл</t>
  </si>
  <si>
    <t xml:space="preserve">                                              Урсгал засвар</t>
  </si>
  <si>
    <t xml:space="preserve">                                    Томилолт, зочны зардал</t>
  </si>
  <si>
    <t xml:space="preserve">                                              Гадаад албан томилолт</t>
  </si>
  <si>
    <t xml:space="preserve">                                              Дотоод албан томилолт</t>
  </si>
  <si>
    <t xml:space="preserve">                                              Зочин тєлєєлєгч хїлээн авах</t>
  </si>
  <si>
    <t xml:space="preserve">                                    Бусдаар гїйцэтгїїлсэн ажил, їйлчилгээний тєлбєр, хураамж</t>
  </si>
  <si>
    <t xml:space="preserve">                                              Аудит, баталгаажуулалт, зэрэглэл тогтоох</t>
  </si>
  <si>
    <t xml:space="preserve">                                              Даатгалын їйлчилгээ</t>
  </si>
  <si>
    <t xml:space="preserve">                                              Бусдаар гїйцэтгїїлсэн ажил, їйлчилгээний тєлбєр, хураамж</t>
  </si>
  <si>
    <t xml:space="preserve">                                              Тээврийн хэрэгслийн оношилгоо</t>
  </si>
  <si>
    <t xml:space="preserve">                                              Тээврийн хэрэгслийн татвар</t>
  </si>
  <si>
    <t xml:space="preserve">                                              Газрын тєлбєр</t>
  </si>
  <si>
    <t xml:space="preserve">                                              Бараа үйлчилгээний бусад зардал</t>
  </si>
  <si>
    <t xml:space="preserve">                                              Мэдээлэл, технологийн їйлчилгээ</t>
  </si>
  <si>
    <t xml:space="preserve">                                    Бараа їйлчилгээний бусад зардал</t>
  </si>
  <si>
    <t xml:space="preserve">                                              Хичээл, їйлдвэрлэлийн дадлага хийх</t>
  </si>
  <si>
    <t xml:space="preserve">                                              Жижиг мөнгөн сан</t>
  </si>
  <si>
    <t>Гэрээгээр гүйцэтгүүлэх ажил үйлчилгээ</t>
  </si>
  <si>
    <t xml:space="preserve">                                      Бусдаар гүйцэтгүүлсэн ажил үйлчилгээ</t>
  </si>
  <si>
    <t xml:space="preserve">                               УРСГАЛ ШИЛЖЇЇЛЭГ</t>
  </si>
  <si>
    <t xml:space="preserve">                                    Засгийн газрын гадаад шилжїїлэг</t>
  </si>
  <si>
    <t xml:space="preserve">                                              Гадаадын болон олон улсын байгууллагын гишїїнчлэлийн хураамж</t>
  </si>
  <si>
    <t>0.0.</t>
  </si>
  <si>
    <t xml:space="preserve">                               НИЙГМИЙН ХАМГААЛАЛ - SOCIAL BENEFITS</t>
  </si>
  <si>
    <t xml:space="preserve">                                    Ажил олгогчоос олгох тэтгэмж, урамшуулал, дэмжлэг</t>
  </si>
  <si>
    <t xml:space="preserve">                                              Тэтгэвэрт гарахад олгох нэг удаагийн мєнгєн тэтгэмж</t>
  </si>
  <si>
    <t xml:space="preserve">                            Ажил олгогчоос олгох тэтгэмж, урамшуулал</t>
  </si>
  <si>
    <t xml:space="preserve">                             ЗГ-ын дотоод шилжүүлэг</t>
  </si>
  <si>
    <t xml:space="preserve">                     ЗАРДЛЫГ САНХЇЇЖЇЇЛЭХ ЭХ ЇЇСВЭР</t>
  </si>
  <si>
    <t xml:space="preserve">                          Улсын тєсвєєс санхїїжих</t>
  </si>
  <si>
    <t xml:space="preserve">                                              Улсын тєсвєєс санхїїжих</t>
  </si>
  <si>
    <t xml:space="preserve">                          Тєсєвт байгууллагын їйл ажиллагаанаас</t>
  </si>
  <si>
    <t xml:space="preserve">                                              Туслах їйл ажиллагааны орлогоос санхїїжих</t>
  </si>
  <si>
    <t xml:space="preserve">                                              Архивын лавлагааны орлого</t>
  </si>
  <si>
    <t>Маягт їнэт цаас</t>
  </si>
  <si>
    <t xml:space="preserve">                                             Түрээсийн орлого</t>
  </si>
  <si>
    <t xml:space="preserve">                                              Гэрэл цахилгаан, түлш халаатын төлбөр</t>
  </si>
  <si>
    <t xml:space="preserve">                                              Цэвэр усны төлбөр</t>
  </si>
  <si>
    <t xml:space="preserve">                                              НД-аас орсон мөнгө буцаж гарах</t>
  </si>
  <si>
    <t xml:space="preserve">                                              Нэрс данс зөрүү буцаж орсон гүйлгээ</t>
  </si>
  <si>
    <t xml:space="preserve">                                       Харилцах дансны эцсийн үлдэгдэл</t>
  </si>
  <si>
    <t xml:space="preserve">                          АЖИЛЛАГСАДЫН ТОО</t>
  </si>
  <si>
    <t xml:space="preserve">                                              Удирдах ажилтан</t>
  </si>
  <si>
    <t xml:space="preserve">                                              Гїйцэтгэх ажилтан</t>
  </si>
  <si>
    <t xml:space="preserve">                                              Їйлчлэх ажилтан</t>
  </si>
  <si>
    <t xml:space="preserve">                                              Гэрээт ажилтан</t>
  </si>
  <si>
    <t xml:space="preserve"> </t>
  </si>
  <si>
    <t>Мэдээ гаргасан:                 _________________ Н.Долгорсүрэн</t>
  </si>
  <si>
    <r>
      <rPr>
        <b/>
        <sz val="8"/>
        <color theme="1"/>
        <rFont val="Times New Roman"/>
        <family val="1"/>
        <charset val="204"/>
      </rPr>
      <t xml:space="preserve">Тайлбар: </t>
    </r>
    <r>
      <rPr>
        <sz val="8"/>
        <color theme="1"/>
        <rFont val="Times New Roman"/>
        <family val="1"/>
        <charset val="204"/>
      </rPr>
      <t>Төсвийн гүйцэтгэлийн мэдээний хүснэгт нь томъёотой тул ямар нэгэн мөр багана нэмж, хасахгүй, мэдээллийн бүрэн оруулсан байх шаардлагатай. Төсвийн хэлбэлзэлийн дүнтэй төсвийн гүйцэтгэлийн зардал таарах ёстой. Хэтрэлт хэмнэлтийн шалтгааныг улирал бүр гаргана. Төрийн өмнөөс гүйцэтгэсэн ажил үйлчилгээ, Харуул хамгаалалтын зардал, Холбооны суваг ашигласны хөлс зэрэг зардлыг Бусдаар гүйцэтгүүлсэн ажил, үйлчилгээний тєлбєр, хураамжийн зардал дээр тусгаж өгнө. Тухайн сард ажилласан ажиллагсадын тоог заавал бөглөнө.</t>
    </r>
  </si>
  <si>
    <t>Сангийн яамны 2016 оны 7-р сарын 29-ний өдрийн 11-1/4817 тоот албан бичгийн хавсралт</t>
  </si>
  <si>
    <t xml:space="preserve"> Дундговь аймгийн Татварын хэлтсийн 2020 оны 05 р сарын  өглөгийн мэдээ</t>
  </si>
  <si>
    <t>төгрөгөөр</t>
  </si>
  <si>
    <t>Байгууллагын дансны дугаар</t>
  </si>
  <si>
    <t>Хөтөлбөр-кодоор</t>
  </si>
  <si>
    <t>Зориулалт-кодоор</t>
  </si>
  <si>
    <t>Эдийн засгийн ангилал-кодоор</t>
  </si>
  <si>
    <t>Авлага, өглөгийн өсөлт/+/ бууралт/-/</t>
  </si>
  <si>
    <t>Тайлбар</t>
  </si>
  <si>
    <t>100080011001</t>
  </si>
  <si>
    <t>бичгийн цаас 220.0 худалдан авсан, 15.8 мянган төгрөг шилжүүлсэн үлдэгдэл 204.2 мянган төгрөг</t>
  </si>
  <si>
    <t>цахилгааны зардал  49001, үйлчилгээний зардал 94876 төгрөг нийт 143877 өртэй</t>
  </si>
  <si>
    <t>Бичил ТТХТ-ын өрөөг засварлахад</t>
  </si>
  <si>
    <t>Аудитын жилийн төлбөр 423.0 үүнээс 324.0 төлсөн үлдэгдэл 108.0</t>
  </si>
  <si>
    <t>газрын жилийн төлбөр 47436 төгрөг үүнээс 23.6 төлсөн үлдэгдэл 23836 төгрөг</t>
  </si>
  <si>
    <r>
      <rPr>
        <b/>
        <sz val="11"/>
        <color theme="1"/>
        <rFont val="Arial"/>
        <family val="2"/>
        <charset val="204"/>
      </rPr>
      <t>Тайлбар</t>
    </r>
    <r>
      <rPr>
        <sz val="11"/>
        <color theme="1"/>
        <rFont val="Arial"/>
        <family val="2"/>
        <charset val="204"/>
      </rPr>
      <t>: авлага, өглөг нь өмнөх сараас нэмэгдсэн бол нэмэгдсэн зөрүү дүнг нэмэх тэмдэгтэйгээр, буурсан бол буурсан зөрүү дүнг хасах тэмдэгтэйгээр бичнэ.</t>
    </r>
  </si>
  <si>
    <t xml:space="preserve">Мэдээг бэлтгэсэн </t>
  </si>
  <si>
    <t>Албан тушаал: Нягтлан бодогч                                 Н.Долгорсүрэн</t>
  </si>
  <si>
    <t>ÖÀËÈÍÃÈÉÍ ÒÎÎÖÎÎÍÛ Õ¯ÑÍÝÃÒ</t>
  </si>
  <si>
    <t>Áàòëàâ: Õýëòñèéí äàðãà                                           М.Туяацэцэг</t>
  </si>
  <si>
    <t>Áàéãóóëëàãûí íýð: Äóíäãîâü Òàòâàðûí õýëòýñ</t>
  </si>
  <si>
    <t xml:space="preserve"> 2020.05.20</t>
  </si>
  <si>
    <t>ä/ä</t>
  </si>
  <si>
    <t>Íýðñ</t>
  </si>
  <si>
    <t>Àëáàí òóøààë</t>
  </si>
  <si>
    <t>Õîíîã</t>
  </si>
  <si>
    <t>¯íäñýí öàëèí</t>
  </si>
  <si>
    <t>Áîäîãäñîí öàëèí</t>
  </si>
  <si>
    <t>Íýìýãäë¿¿ä</t>
  </si>
  <si>
    <t>Íèéò ä¿í</t>
  </si>
  <si>
    <t>Ñóóòãàëóóä</t>
  </si>
  <si>
    <t>Ñóóòãàëûí ä¿í</t>
  </si>
  <si>
    <t>Ãàðò îëãîõ öàëèí</t>
  </si>
  <si>
    <t>Çýðýã äýâ</t>
  </si>
  <si>
    <t>Óäààí æèë</t>
  </si>
  <si>
    <t>Ур чадварын нэмэгдэл</t>
  </si>
  <si>
    <t>Нууц</t>
  </si>
  <si>
    <t>Õàâñðàí àæèëëàñàí</t>
  </si>
  <si>
    <t>Õîîë óíàà</t>
  </si>
  <si>
    <t>Урамшуулал</t>
  </si>
  <si>
    <t>Амралт</t>
  </si>
  <si>
    <t>ÍÄØ</t>
  </si>
  <si>
    <t>Àøèã</t>
  </si>
  <si>
    <t>Урьдчилгаа</t>
  </si>
  <si>
    <t xml:space="preserve"> суутгал</t>
  </si>
  <si>
    <t>Тусламж</t>
  </si>
  <si>
    <t>Хуримтлал</t>
  </si>
  <si>
    <t>Õóâü</t>
  </si>
  <si>
    <t>ä¿í</t>
  </si>
  <si>
    <t>Ä¿í</t>
  </si>
  <si>
    <t>Ì.Òóÿàöýöýã</t>
  </si>
  <si>
    <t>ТУАБ</t>
  </si>
  <si>
    <t>Á.Áààòàðñ¿ðýí</t>
  </si>
  <si>
    <t>ÒÓБ</t>
  </si>
  <si>
    <t>Æ.Ñóãèðìàà</t>
  </si>
  <si>
    <t>ÒÓÀÁ</t>
  </si>
  <si>
    <t>Í.Ìºíãºíòóÿà</t>
  </si>
  <si>
    <t>Í.Äîëãîðñ¿ðýí</t>
  </si>
  <si>
    <t>ÒÓÁ,ня-бо</t>
  </si>
  <si>
    <t>Ч.Оюунжаргал</t>
  </si>
  <si>
    <t>ТУБ</t>
  </si>
  <si>
    <t>Æ.Áàÿðñàéõàí</t>
  </si>
  <si>
    <t>ÒÓÁ</t>
  </si>
  <si>
    <t>Á.Æàí÷èâäîðæ</t>
  </si>
  <si>
    <t>Í.Ýíõò¿âøèí</t>
  </si>
  <si>
    <t>Á.Ò¿âøèíæàðãàë</t>
  </si>
  <si>
    <t>Э.Энхжаргал</t>
  </si>
  <si>
    <t>Хураагч</t>
  </si>
  <si>
    <t>Б.Санжаасүрэн</t>
  </si>
  <si>
    <t>хураагч</t>
  </si>
  <si>
    <t>Б.Нарангэрэл</t>
  </si>
  <si>
    <t>Ä.Àëòàíñàðãàé</t>
  </si>
  <si>
    <t>Ä.Çàãäñ¿ðýí</t>
  </si>
  <si>
    <t>А.Ганзаяа</t>
  </si>
  <si>
    <t>Ï.Óðàíöýöýã</t>
  </si>
  <si>
    <t>Ì.Ìºíõáàÿð</t>
  </si>
  <si>
    <t>Ë.Óðàíáèëýã</t>
  </si>
  <si>
    <t>Ð.Îòãîíáààòàð</t>
  </si>
  <si>
    <t>Д.Ганчимэг</t>
  </si>
  <si>
    <t>Ч.Долгоржав</t>
  </si>
  <si>
    <t>Э.Зулцэцэг</t>
  </si>
  <si>
    <t>Ш.Хэрлэнбямба</t>
  </si>
  <si>
    <t>Үйлчлэгч</t>
  </si>
  <si>
    <t>Б.Эрдэнэхүү</t>
  </si>
  <si>
    <t>жолооч</t>
  </si>
  <si>
    <t>Ш.Мөнгөнцэцэг</t>
  </si>
  <si>
    <t>А.Нямгэрэл</t>
  </si>
  <si>
    <t>П.Цэцэгжаргал</t>
  </si>
  <si>
    <t>Б.Ууганбат</t>
  </si>
  <si>
    <t>Э.Сандагсүрэн</t>
  </si>
  <si>
    <t>Íÿãòëàí áîäîã÷                                         Í.Äîëãîðñ¿ðýí</t>
  </si>
  <si>
    <t>Данс</t>
  </si>
  <si>
    <t>Орлогын төрөл</t>
  </si>
  <si>
    <t>Үнэт цаас</t>
  </si>
  <si>
    <t>Дүн</t>
  </si>
  <si>
    <t>Залруулах дансны код</t>
  </si>
  <si>
    <t>Төвлөрүүлэх орлого</t>
  </si>
  <si>
    <t>Дундлговь аймгийн Татварын хэлтэс  орлого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</si>
</sst>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 #,##0_);_(* \(#,##0\);_(* &quot;-&quot;??_);_(@_)"/>
  </numFmts>
  <fonts count="37" x14ac:knownFonts="1">
    <font>
      <sz val="11"/>
      <color theme="1"/>
      <name val="Calibri"/>
      <family val="2"/>
      <scheme val="minor"/>
    </font>
    <font>
      <sz val="11"/>
      <color theme="1"/>
      <name val="Calibri"/>
      <family val="2"/>
      <scheme val="minor"/>
    </font>
    <font>
      <b/>
      <sz val="12"/>
      <color theme="3" tint="-0.499984740745262"/>
      <name val="Times New Roman"/>
      <family val="1"/>
      <charset val="204"/>
    </font>
    <font>
      <sz val="12"/>
      <color theme="3" tint="-0.499984740745262"/>
      <name val="Times New Roman"/>
      <family val="1"/>
      <charset val="204"/>
    </font>
    <font>
      <sz val="8"/>
      <name val="Times New Roman"/>
      <family val="1"/>
    </font>
    <font>
      <b/>
      <sz val="10"/>
      <name val="Times New Roman"/>
      <family val="1"/>
      <charset val="204"/>
    </font>
    <font>
      <b/>
      <sz val="11"/>
      <name val="Times New Roman"/>
      <family val="1"/>
    </font>
    <font>
      <sz val="10"/>
      <name val="Arial"/>
      <family val="2"/>
    </font>
    <font>
      <b/>
      <sz val="8"/>
      <name val="Times New Roman"/>
      <family val="1"/>
    </font>
    <font>
      <b/>
      <sz val="8"/>
      <color theme="1"/>
      <name val="Times New Roman"/>
      <family val="1"/>
      <charset val="204"/>
    </font>
    <font>
      <sz val="10"/>
      <name val="Times New Roman"/>
      <family val="1"/>
    </font>
    <font>
      <b/>
      <sz val="10"/>
      <color theme="3" tint="-0.249977111117893"/>
      <name val="Times New Roman"/>
      <family val="1"/>
    </font>
    <font>
      <b/>
      <sz val="8"/>
      <color theme="3" tint="-0.249977111117893"/>
      <name val="Times New Roman"/>
      <family val="1"/>
    </font>
    <font>
      <b/>
      <sz val="10"/>
      <color theme="3" tint="0.39997558519241921"/>
      <name val="Times New Roman"/>
      <family val="1"/>
    </font>
    <font>
      <b/>
      <sz val="8"/>
      <color theme="3" tint="0.39997558519241921"/>
      <name val="Times New Roman"/>
      <family val="1"/>
    </font>
    <font>
      <sz val="9"/>
      <color theme="1"/>
      <name val="Times New Roman"/>
      <family val="1"/>
      <charset val="204"/>
    </font>
    <font>
      <sz val="8"/>
      <name val="Times New Roman"/>
      <family val="1"/>
      <charset val="204"/>
    </font>
    <font>
      <sz val="10"/>
      <color theme="1"/>
      <name val="Times New Roman"/>
      <family val="1"/>
    </font>
    <font>
      <sz val="8"/>
      <color theme="1"/>
      <name val="Times New Roman"/>
      <family val="1"/>
      <charset val="204"/>
    </font>
    <font>
      <sz val="8"/>
      <color theme="1"/>
      <name val="Arial Mon"/>
      <family val="2"/>
    </font>
    <font>
      <sz val="8"/>
      <color theme="1"/>
      <name val="Calibri"/>
      <family val="2"/>
      <charset val="1"/>
      <scheme val="minor"/>
    </font>
    <font>
      <b/>
      <sz val="10"/>
      <color theme="3" tint="0.39997558519241921"/>
      <name val="Times New Roman"/>
      <family val="1"/>
      <charset val="204"/>
    </font>
    <font>
      <b/>
      <sz val="8"/>
      <color theme="3" tint="0.39997558519241921"/>
      <name val="Times New Roman"/>
      <family val="1"/>
      <charset val="204"/>
    </font>
    <font>
      <sz val="10"/>
      <name val="Times New Roman"/>
      <family val="1"/>
      <charset val="204"/>
    </font>
    <font>
      <sz val="8"/>
      <color theme="3" tint="0.39997558519241921"/>
      <name val="Times New Roman"/>
      <family val="1"/>
    </font>
    <font>
      <sz val="11"/>
      <color theme="1"/>
      <name val="Times New Roman"/>
      <family val="1"/>
      <charset val="204"/>
    </font>
    <font>
      <b/>
      <sz val="11"/>
      <color theme="1"/>
      <name val="Calibri"/>
      <family val="2"/>
      <charset val="204"/>
      <scheme val="minor"/>
    </font>
    <font>
      <sz val="11"/>
      <color theme="1"/>
      <name val="Arial"/>
      <family val="2"/>
      <charset val="204"/>
    </font>
    <font>
      <b/>
      <sz val="11"/>
      <color theme="1"/>
      <name val="Arial"/>
      <family val="2"/>
      <charset val="204"/>
    </font>
    <font>
      <b/>
      <sz val="10"/>
      <name val="Times New Roman Mon"/>
      <family val="1"/>
      <charset val="204"/>
    </font>
    <font>
      <sz val="10"/>
      <name val="Times New Roman Mon"/>
      <family val="1"/>
      <charset val="204"/>
    </font>
    <font>
      <b/>
      <sz val="12"/>
      <name val="Times New Roman Mon"/>
      <family val="1"/>
      <charset val="204"/>
    </font>
    <font>
      <sz val="11"/>
      <name val="Times New Roman Mon"/>
      <family val="1"/>
      <charset val="204"/>
    </font>
    <font>
      <sz val="8"/>
      <name val="Times New Roman Mon"/>
      <family val="1"/>
      <charset val="204"/>
    </font>
    <font>
      <sz val="10"/>
      <color theme="1"/>
      <name val="Times New Roman Mon"/>
      <family val="1"/>
      <charset val="204"/>
    </font>
    <font>
      <sz val="10"/>
      <color rgb="FFFF0000"/>
      <name val="Times New Roman Mon"/>
      <family val="1"/>
      <charset val="204"/>
    </font>
    <font>
      <sz val="14"/>
      <name val="Times New Roman Mon"/>
      <family val="1"/>
      <charset val="204"/>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
    <xf numFmtId="0" fontId="0" fillId="0" borderId="0"/>
    <xf numFmtId="43" fontId="1" fillId="0" borderId="0" applyFont="0" applyFill="0" applyBorder="0" applyAlignment="0" applyProtection="0"/>
    <xf numFmtId="0" fontId="1" fillId="0" borderId="0"/>
    <xf numFmtId="0" fontId="7" fillId="0" borderId="0"/>
    <xf numFmtId="0" fontId="7" fillId="0" borderId="0"/>
    <xf numFmtId="43" fontId="1" fillId="0" borderId="0" applyFont="0" applyFill="0" applyBorder="0" applyAlignment="0" applyProtection="0"/>
    <xf numFmtId="0" fontId="7" fillId="0" borderId="0"/>
  </cellStyleXfs>
  <cellXfs count="97">
    <xf numFmtId="0" fontId="0" fillId="0" borderId="0" xfId="0"/>
    <xf numFmtId="0" fontId="4" fillId="0" borderId="0" xfId="2" applyFont="1" applyAlignment="1">
      <alignment horizontal="left" vertical="center"/>
    </xf>
    <xf numFmtId="164" fontId="4" fillId="0" borderId="0" xfId="2" quotePrefix="1" applyNumberFormat="1" applyFont="1" applyAlignment="1">
      <alignment horizontal="center" vertical="center"/>
    </xf>
    <xf numFmtId="0" fontId="5" fillId="0" borderId="0" xfId="2" applyFont="1" applyAlignment="1">
      <alignment horizontal="left" vertical="center"/>
    </xf>
    <xf numFmtId="0" fontId="6" fillId="0" borderId="2" xfId="2" applyFont="1" applyBorder="1" applyAlignment="1">
      <alignment horizontal="center" vertical="center"/>
    </xf>
    <xf numFmtId="164" fontId="8" fillId="0" borderId="2" xfId="3" applyNumberFormat="1" applyFont="1" applyBorder="1" applyAlignment="1">
      <alignment horizontal="center" vertical="center" wrapText="1"/>
    </xf>
    <xf numFmtId="164" fontId="8" fillId="2" borderId="2" xfId="4" applyNumberFormat="1" applyFont="1" applyFill="1" applyBorder="1" applyAlignment="1">
      <alignment horizontal="center" vertical="center" wrapText="1"/>
    </xf>
    <xf numFmtId="0" fontId="9" fillId="0" borderId="2" xfId="0" applyFont="1" applyBorder="1" applyAlignment="1">
      <alignment horizontal="center" vertical="center" wrapText="1"/>
    </xf>
    <xf numFmtId="0" fontId="10" fillId="2" borderId="2" xfId="4" applyFont="1" applyFill="1" applyBorder="1" applyAlignment="1">
      <alignment horizontal="left" vertical="center"/>
    </xf>
    <xf numFmtId="0" fontId="0" fillId="0" borderId="2" xfId="0" applyBorder="1"/>
    <xf numFmtId="0" fontId="11" fillId="0" borderId="2" xfId="2" applyFont="1" applyBorder="1" applyAlignment="1">
      <alignment horizontal="left" vertical="center"/>
    </xf>
    <xf numFmtId="164" fontId="12" fillId="0" borderId="2" xfId="2" applyNumberFormat="1" applyFont="1" applyBorder="1" applyAlignment="1">
      <alignment horizontal="center" vertical="center"/>
    </xf>
    <xf numFmtId="164" fontId="8" fillId="0" borderId="2" xfId="2" applyNumberFormat="1" applyFont="1" applyBorder="1" applyAlignment="1">
      <alignment horizontal="center" vertical="center"/>
    </xf>
    <xf numFmtId="0" fontId="13" fillId="0" borderId="2" xfId="2" applyFont="1" applyBorder="1" applyAlignment="1">
      <alignment horizontal="left" vertical="center"/>
    </xf>
    <xf numFmtId="164" fontId="14" fillId="0" borderId="2" xfId="2" applyNumberFormat="1" applyFont="1" applyBorder="1" applyAlignment="1">
      <alignment horizontal="center" vertical="center"/>
    </xf>
    <xf numFmtId="43" fontId="15" fillId="0" borderId="2" xfId="1" applyFont="1" applyBorder="1" applyAlignment="1">
      <alignment vertical="center" wrapText="1"/>
    </xf>
    <xf numFmtId="0" fontId="10" fillId="0" borderId="2" xfId="2" applyFont="1" applyBorder="1" applyAlignment="1">
      <alignment horizontal="left" vertical="center"/>
    </xf>
    <xf numFmtId="164" fontId="4" fillId="0" borderId="2" xfId="2" applyNumberFormat="1" applyFont="1" applyBorder="1" applyAlignment="1">
      <alignment horizontal="center" vertical="center"/>
    </xf>
    <xf numFmtId="164" fontId="16" fillId="0" borderId="2" xfId="2" applyNumberFormat="1" applyFont="1" applyBorder="1" applyAlignment="1">
      <alignment horizontal="center" vertical="center"/>
    </xf>
    <xf numFmtId="0" fontId="15" fillId="0" borderId="2" xfId="0" applyFont="1" applyBorder="1" applyAlignment="1">
      <alignment vertical="center" wrapText="1"/>
    </xf>
    <xf numFmtId="0" fontId="10" fillId="0" borderId="2" xfId="2" applyFont="1" applyBorder="1" applyAlignment="1">
      <alignment horizontal="center" vertical="center"/>
    </xf>
    <xf numFmtId="165" fontId="17" fillId="0" borderId="2" xfId="5" applyNumberFormat="1" applyFont="1" applyBorder="1"/>
    <xf numFmtId="0" fontId="18" fillId="0" borderId="2" xfId="0" applyFont="1" applyBorder="1" applyAlignment="1">
      <alignment vertical="center" wrapText="1"/>
    </xf>
    <xf numFmtId="164" fontId="4" fillId="0" borderId="2" xfId="6" applyNumberFormat="1" applyFont="1" applyBorder="1" applyAlignment="1">
      <alignment horizontal="center" vertical="center"/>
    </xf>
    <xf numFmtId="0" fontId="19" fillId="0" borderId="2" xfId="0" applyFont="1" applyBorder="1" applyAlignment="1">
      <alignment vertical="center" wrapText="1"/>
    </xf>
    <xf numFmtId="0" fontId="20" fillId="0" borderId="2" xfId="0" applyFont="1" applyBorder="1"/>
    <xf numFmtId="0" fontId="10" fillId="0" borderId="2" xfId="6" applyFont="1" applyBorder="1" applyAlignment="1">
      <alignment horizontal="left" vertical="center"/>
    </xf>
    <xf numFmtId="164" fontId="4" fillId="0" borderId="2" xfId="3" applyNumberFormat="1" applyFont="1" applyBorder="1" applyAlignment="1">
      <alignment horizontal="center" vertical="center"/>
    </xf>
    <xf numFmtId="0" fontId="20" fillId="0" borderId="2" xfId="0" applyFont="1" applyBorder="1" applyAlignment="1">
      <alignment vertical="center" wrapText="1"/>
    </xf>
    <xf numFmtId="0" fontId="10" fillId="2" borderId="2" xfId="2" applyFont="1" applyFill="1" applyBorder="1" applyAlignment="1">
      <alignment horizontal="left" vertical="center"/>
    </xf>
    <xf numFmtId="0" fontId="21" fillId="0" borderId="2" xfId="2" applyFont="1" applyBorder="1" applyAlignment="1">
      <alignment horizontal="center" vertical="center"/>
    </xf>
    <xf numFmtId="164" fontId="22" fillId="0" borderId="2" xfId="2" applyNumberFormat="1" applyFont="1" applyBorder="1" applyAlignment="1">
      <alignment horizontal="center" vertical="center"/>
    </xf>
    <xf numFmtId="0" fontId="23" fillId="0" borderId="2" xfId="2" applyFont="1" applyBorder="1" applyAlignment="1">
      <alignment horizontal="center" vertical="center"/>
    </xf>
    <xf numFmtId="164" fontId="24" fillId="0" borderId="2" xfId="2" applyNumberFormat="1" applyFont="1" applyBorder="1" applyAlignment="1">
      <alignment horizontal="center" vertical="center"/>
    </xf>
    <xf numFmtId="164" fontId="4" fillId="2" borderId="2" xfId="2" applyNumberFormat="1" applyFont="1" applyFill="1" applyBorder="1" applyAlignment="1">
      <alignment horizontal="center" vertical="center"/>
    </xf>
    <xf numFmtId="0" fontId="10" fillId="2" borderId="2" xfId="6" applyFont="1" applyFill="1" applyBorder="1" applyAlignment="1">
      <alignment horizontal="left" vertical="center"/>
    </xf>
    <xf numFmtId="164" fontId="16" fillId="2" borderId="2" xfId="2" applyNumberFormat="1" applyFont="1" applyFill="1" applyBorder="1" applyAlignment="1">
      <alignment horizontal="center" vertical="center"/>
    </xf>
    <xf numFmtId="164" fontId="14" fillId="2" borderId="2" xfId="2" applyNumberFormat="1" applyFont="1" applyFill="1" applyBorder="1" applyAlignment="1">
      <alignment horizontal="center" vertical="center"/>
    </xf>
    <xf numFmtId="164" fontId="4" fillId="2" borderId="2" xfId="6" applyNumberFormat="1" applyFont="1" applyFill="1" applyBorder="1" applyAlignment="1">
      <alignment horizontal="center" vertical="center"/>
    </xf>
    <xf numFmtId="164" fontId="8" fillId="2" borderId="2" xfId="2" applyNumberFormat="1" applyFont="1" applyFill="1" applyBorder="1" applyAlignment="1">
      <alignment horizontal="center" vertical="center"/>
    </xf>
    <xf numFmtId="0" fontId="4" fillId="0" borderId="2" xfId="0" applyFont="1" applyBorder="1" applyAlignment="1">
      <alignment horizontal="left"/>
    </xf>
    <xf numFmtId="0" fontId="4" fillId="0" borderId="2" xfId="0" applyFont="1" applyBorder="1" applyAlignment="1">
      <alignment horizontal="center"/>
    </xf>
    <xf numFmtId="0" fontId="16" fillId="0" borderId="2" xfId="0" applyFont="1" applyBorder="1" applyAlignment="1">
      <alignment horizontal="left"/>
    </xf>
    <xf numFmtId="164" fontId="24" fillId="2" borderId="2" xfId="2" applyNumberFormat="1" applyFont="1" applyFill="1" applyBorder="1" applyAlignment="1">
      <alignment horizontal="center" vertical="center"/>
    </xf>
    <xf numFmtId="164" fontId="24" fillId="0" borderId="2" xfId="0" applyNumberFormat="1" applyFont="1" applyBorder="1" applyAlignment="1">
      <alignment horizontal="center" vertical="center"/>
    </xf>
    <xf numFmtId="164" fontId="0" fillId="0" borderId="2" xfId="0" applyNumberFormat="1" applyBorder="1"/>
    <xf numFmtId="0" fontId="25" fillId="0" borderId="0" xfId="0" applyFont="1" applyAlignment="1">
      <alignment horizontal="right"/>
    </xf>
    <xf numFmtId="0" fontId="25" fillId="0" borderId="0" xfId="0" applyFont="1"/>
    <xf numFmtId="0" fontId="26" fillId="0" borderId="0" xfId="0" applyFont="1"/>
    <xf numFmtId="0" fontId="27" fillId="0" borderId="0" xfId="0" applyFont="1" applyAlignment="1">
      <alignment horizontal="center" vertical="center" wrapText="1"/>
    </xf>
    <xf numFmtId="43" fontId="27" fillId="0" borderId="0" xfId="5" applyFont="1" applyAlignment="1">
      <alignment horizontal="center" vertical="center" wrapText="1"/>
    </xf>
    <xf numFmtId="0" fontId="27" fillId="0" borderId="2" xfId="0" applyFont="1" applyBorder="1" applyAlignment="1">
      <alignment horizontal="center" vertical="center" wrapText="1"/>
    </xf>
    <xf numFmtId="43" fontId="27" fillId="0" borderId="2" xfId="5" applyFont="1" applyBorder="1" applyAlignment="1">
      <alignment horizontal="center" vertical="center" wrapText="1"/>
    </xf>
    <xf numFmtId="49" fontId="27" fillId="0" borderId="2" xfId="0" applyNumberFormat="1" applyFont="1" applyBorder="1" applyAlignment="1">
      <alignment horizontal="center" vertical="center" wrapText="1"/>
    </xf>
    <xf numFmtId="0" fontId="30" fillId="0" borderId="0" xfId="0" applyFont="1" applyAlignment="1">
      <alignment vertical="center" wrapText="1"/>
    </xf>
    <xf numFmtId="0" fontId="29" fillId="0" borderId="0" xfId="0" applyFont="1" applyAlignment="1">
      <alignment vertical="center" wrapText="1"/>
    </xf>
    <xf numFmtId="0" fontId="30" fillId="0" borderId="2" xfId="0" applyFont="1" applyBorder="1" applyAlignment="1">
      <alignment horizontal="center" vertical="center" textRotation="90" wrapText="1"/>
    </xf>
    <xf numFmtId="0" fontId="30" fillId="0" borderId="2" xfId="0" applyFont="1" applyBorder="1" applyAlignment="1">
      <alignment horizontal="center" vertical="center" wrapText="1"/>
    </xf>
    <xf numFmtId="0" fontId="30" fillId="0" borderId="2" xfId="0" applyFont="1" applyBorder="1" applyAlignment="1">
      <alignment vertical="center" wrapText="1"/>
    </xf>
    <xf numFmtId="0" fontId="34" fillId="0" borderId="2" xfId="0" applyFont="1" applyBorder="1" applyAlignment="1">
      <alignment vertical="center" wrapText="1"/>
    </xf>
    <xf numFmtId="1" fontId="30" fillId="0" borderId="2" xfId="0" applyNumberFormat="1" applyFont="1" applyBorder="1" applyAlignment="1">
      <alignment horizontal="center" vertical="center" wrapText="1"/>
    </xf>
    <xf numFmtId="0" fontId="29" fillId="0" borderId="2" xfId="0" applyFont="1" applyBorder="1" applyAlignment="1">
      <alignment horizontal="center" vertical="center" wrapText="1"/>
    </xf>
    <xf numFmtId="0" fontId="35" fillId="0" borderId="2" xfId="0" applyFont="1" applyBorder="1" applyAlignment="1">
      <alignment horizontal="center" vertical="center" wrapText="1"/>
    </xf>
    <xf numFmtId="0" fontId="34" fillId="0" borderId="2" xfId="0" applyFont="1" applyBorder="1" applyAlignment="1">
      <alignment horizontal="center" vertical="center" wrapText="1"/>
    </xf>
    <xf numFmtId="0" fontId="30" fillId="0" borderId="6" xfId="0" applyFont="1" applyBorder="1" applyAlignment="1">
      <alignment vertical="center" wrapText="1"/>
    </xf>
    <xf numFmtId="0" fontId="30" fillId="3" borderId="2" xfId="0" applyFont="1" applyFill="1" applyBorder="1" applyAlignment="1">
      <alignment horizontal="center" vertical="center" wrapText="1"/>
    </xf>
    <xf numFmtId="0" fontId="29" fillId="3" borderId="2" xfId="0" applyFont="1" applyFill="1" applyBorder="1" applyAlignment="1">
      <alignment vertical="center" wrapText="1"/>
    </xf>
    <xf numFmtId="1" fontId="29" fillId="3" borderId="2" xfId="0" applyNumberFormat="1" applyFont="1" applyFill="1" applyBorder="1" applyAlignment="1">
      <alignment horizontal="center" vertical="center" wrapText="1"/>
    </xf>
    <xf numFmtId="1" fontId="30" fillId="0" borderId="0" xfId="0" applyNumberFormat="1" applyFont="1" applyAlignment="1">
      <alignment vertical="center" wrapText="1"/>
    </xf>
    <xf numFmtId="0" fontId="0" fillId="0" borderId="2" xfId="0" applyBorder="1" applyAlignment="1">
      <alignment horizontal="center"/>
    </xf>
    <xf numFmtId="0" fontId="0" fillId="0" borderId="2" xfId="0" applyBorder="1" applyAlignment="1">
      <alignment horizontal="center" vertical="center"/>
    </xf>
    <xf numFmtId="43" fontId="0" fillId="0" borderId="2" xfId="1" applyFont="1" applyBorder="1" applyAlignment="1">
      <alignment horizontal="center" vertical="center"/>
    </xf>
    <xf numFmtId="0" fontId="2" fillId="0" borderId="0" xfId="2" applyFont="1" applyAlignment="1">
      <alignment horizontal="center"/>
    </xf>
    <xf numFmtId="164" fontId="4" fillId="0" borderId="1" xfId="2" applyNumberFormat="1" applyFont="1" applyBorder="1" applyAlignment="1">
      <alignment horizontal="center" vertical="center"/>
    </xf>
    <xf numFmtId="0" fontId="25" fillId="0" borderId="0" xfId="0" applyFont="1" applyAlignment="1">
      <alignment horizontal="center"/>
    </xf>
    <xf numFmtId="0" fontId="18" fillId="0" borderId="0" xfId="0" applyFont="1" applyAlignment="1">
      <alignment horizontal="justify" wrapText="1"/>
    </xf>
    <xf numFmtId="0" fontId="29" fillId="0" borderId="0" xfId="0" applyFont="1" applyAlignment="1">
      <alignment horizontal="center" vertical="center" wrapText="1"/>
    </xf>
    <xf numFmtId="0" fontId="31" fillId="0" borderId="0" xfId="0" applyFont="1" applyAlignment="1">
      <alignment horizontal="left" vertical="center" wrapText="1"/>
    </xf>
    <xf numFmtId="14" fontId="31" fillId="0" borderId="0" xfId="0" applyNumberFormat="1" applyFont="1" applyAlignment="1">
      <alignment horizontal="center" vertical="center" wrapText="1"/>
    </xf>
    <xf numFmtId="0" fontId="31" fillId="0" borderId="0" xfId="0" applyFont="1" applyAlignment="1">
      <alignment horizontal="center" vertical="center" wrapText="1"/>
    </xf>
    <xf numFmtId="0" fontId="29" fillId="0" borderId="2" xfId="0" applyFont="1" applyBorder="1" applyAlignment="1">
      <alignment horizontal="center" vertical="center" wrapText="1"/>
    </xf>
    <xf numFmtId="0" fontId="31" fillId="0" borderId="2"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2" xfId="0" applyFont="1" applyBorder="1" applyAlignment="1">
      <alignment horizontal="center" vertical="center" textRotation="90" wrapText="1"/>
    </xf>
    <xf numFmtId="0" fontId="32" fillId="0" borderId="4"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2"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2" xfId="0" applyFont="1" applyBorder="1" applyAlignment="1">
      <alignment horizontal="center" vertical="center" textRotation="90" wrapText="1"/>
    </xf>
    <xf numFmtId="0" fontId="29" fillId="3" borderId="2" xfId="0" applyFont="1" applyFill="1" applyBorder="1" applyAlignment="1">
      <alignment horizontal="center" vertical="center" wrapText="1"/>
    </xf>
    <xf numFmtId="0" fontId="36" fillId="0" borderId="0" xfId="0" applyFont="1" applyAlignment="1">
      <alignment horizontal="center" vertical="center" wrapText="1"/>
    </xf>
    <xf numFmtId="0" fontId="30" fillId="0" borderId="7" xfId="0" applyFont="1" applyBorder="1" applyAlignment="1">
      <alignment horizontal="center" vertical="center" textRotation="90" wrapText="1"/>
    </xf>
    <xf numFmtId="0" fontId="30" fillId="0" borderId="8" xfId="0" applyFont="1" applyBorder="1" applyAlignment="1">
      <alignment horizontal="center" vertical="center" textRotation="90" wrapText="1"/>
    </xf>
    <xf numFmtId="0" fontId="27" fillId="0" borderId="0" xfId="0" applyFont="1" applyAlignment="1">
      <alignment horizontal="center" vertical="center" wrapText="1"/>
    </xf>
    <xf numFmtId="0" fontId="27" fillId="0" borderId="3" xfId="0" applyFont="1" applyBorder="1" applyAlignment="1">
      <alignment horizontal="center" vertical="center" wrapText="1"/>
    </xf>
    <xf numFmtId="0" fontId="0" fillId="0" borderId="0" xfId="0" applyAlignment="1">
      <alignment horizontal="center"/>
    </xf>
  </cellXfs>
  <cellStyles count="7">
    <cellStyle name="Comma" xfId="1" builtinId="3"/>
    <cellStyle name="Comma 10" xfId="5" xr:uid="{C774ABA9-2563-4B7B-8179-553F49646DCB}"/>
    <cellStyle name="Normal" xfId="0" builtinId="0"/>
    <cellStyle name="Normal 12" xfId="3" xr:uid="{990E7F49-E91E-402B-A4CC-6E2742BEBBA0}"/>
    <cellStyle name="Normal 13" xfId="6" xr:uid="{093C217F-CC17-449F-B37D-2002EA8D851C}"/>
    <cellStyle name="Normal 17" xfId="2" xr:uid="{2B3F243F-A11A-4BE0-A53C-44C818A5AF01}"/>
    <cellStyle name="Normal 2 2" xfId="4" xr:uid="{69C06438-92F9-4DEC-B10D-6F032F71E88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5EA8C-24B7-453E-9965-A924E034A5A2}">
  <dimension ref="A2:E90"/>
  <sheetViews>
    <sheetView workbookViewId="0">
      <selection activeCell="H39" sqref="H39"/>
    </sheetView>
  </sheetViews>
  <sheetFormatPr defaultRowHeight="15" x14ac:dyDescent="0.25"/>
  <cols>
    <col min="1" max="1" width="53.7109375" customWidth="1"/>
    <col min="2" max="2" width="12" customWidth="1"/>
    <col min="3" max="3" width="12.28515625" customWidth="1"/>
    <col min="4" max="4" width="14.28515625" customWidth="1"/>
    <col min="5" max="5" width="20.28515625" customWidth="1"/>
    <col min="7" max="7" width="4.28515625" customWidth="1"/>
  </cols>
  <sheetData>
    <row r="2" spans="1:5" ht="15.75" x14ac:dyDescent="0.25">
      <c r="A2" s="72" t="s">
        <v>0</v>
      </c>
      <c r="B2" s="72"/>
      <c r="C2" s="72"/>
      <c r="D2" s="72"/>
      <c r="E2" s="72"/>
    </row>
    <row r="3" spans="1:5" x14ac:dyDescent="0.25">
      <c r="A3" s="1"/>
      <c r="B3" s="2"/>
      <c r="C3" s="2"/>
      <c r="D3" s="2"/>
    </row>
    <row r="4" spans="1:5" x14ac:dyDescent="0.25">
      <c r="A4" s="3" t="s">
        <v>1</v>
      </c>
      <c r="B4" s="2"/>
      <c r="C4" s="2"/>
      <c r="D4" s="73" t="s">
        <v>2</v>
      </c>
      <c r="E4" s="73"/>
    </row>
    <row r="5" spans="1:5" ht="21" x14ac:dyDescent="0.25">
      <c r="A5" s="4" t="s">
        <v>3</v>
      </c>
      <c r="B5" s="5" t="s">
        <v>4</v>
      </c>
      <c r="C5" s="5" t="s">
        <v>5</v>
      </c>
      <c r="D5" s="6" t="s">
        <v>6</v>
      </c>
      <c r="E5" s="7" t="s">
        <v>7</v>
      </c>
    </row>
    <row r="6" spans="1:5" x14ac:dyDescent="0.25">
      <c r="A6" s="8" t="s">
        <v>8</v>
      </c>
      <c r="B6" s="5">
        <v>0</v>
      </c>
      <c r="C6" s="5">
        <v>0</v>
      </c>
      <c r="D6" s="6"/>
      <c r="E6" s="9"/>
    </row>
    <row r="7" spans="1:5" x14ac:dyDescent="0.25">
      <c r="A7" s="10" t="s">
        <v>9</v>
      </c>
      <c r="B7" s="11">
        <f>SUM(B10+B15+B21+B26+B33+B36+B40+B44+B53+B57+B62)</f>
        <v>224205000</v>
      </c>
      <c r="C7" s="11">
        <f>SUM(C10+C15+C21+C26+C36+C40+C44+C53+C57+C59+C62)</f>
        <v>202745695</v>
      </c>
      <c r="D7" s="11">
        <f>SUM(B7-C7)</f>
        <v>21459305</v>
      </c>
      <c r="E7" s="9"/>
    </row>
    <row r="8" spans="1:5" x14ac:dyDescent="0.25">
      <c r="A8" s="10" t="s">
        <v>10</v>
      </c>
      <c r="B8" s="11">
        <f>SUM(B10+B15+B21+B26+B36+B40+B44+B53+B57)</f>
        <v>223984500</v>
      </c>
      <c r="C8" s="11">
        <f>SUM(C10+C15+C21+C26+C33+C36+C40+C44+C53+C57)</f>
        <v>202745695</v>
      </c>
      <c r="D8" s="11">
        <f t="shared" ref="D8:D9" si="0">SUM(B8-C8)</f>
        <v>21238805</v>
      </c>
      <c r="E8" s="12"/>
    </row>
    <row r="9" spans="1:5" x14ac:dyDescent="0.25">
      <c r="A9" s="10" t="s">
        <v>11</v>
      </c>
      <c r="B9" s="11">
        <f>+B10+B15+B21+B26+B33+B36+B40+B44+B53+B57+B62</f>
        <v>224205000</v>
      </c>
      <c r="C9" s="11">
        <f>+C10+C15+C21+C26+C33+C36+C40+C44+C53+C57+C62</f>
        <v>202745695</v>
      </c>
      <c r="D9" s="11">
        <f t="shared" si="0"/>
        <v>21459305</v>
      </c>
      <c r="E9" s="12"/>
    </row>
    <row r="10" spans="1:5" x14ac:dyDescent="0.25">
      <c r="A10" s="13" t="s">
        <v>12</v>
      </c>
      <c r="B10" s="14">
        <f>+SUM(B11:B14)</f>
        <v>176510000</v>
      </c>
      <c r="C10" s="14">
        <f>+SUM(C11:C14)</f>
        <v>162564369</v>
      </c>
      <c r="D10" s="14">
        <f>+SUM(D11:D14)</f>
        <v>13945631</v>
      </c>
      <c r="E10" s="15"/>
    </row>
    <row r="11" spans="1:5" ht="18" customHeight="1" x14ac:dyDescent="0.25">
      <c r="A11" s="16" t="s">
        <v>13</v>
      </c>
      <c r="B11" s="17">
        <v>122335500</v>
      </c>
      <c r="C11" s="17">
        <v>149278198</v>
      </c>
      <c r="D11" s="18">
        <f>SUM(B11-C11)</f>
        <v>-26942698</v>
      </c>
      <c r="E11" s="19"/>
    </row>
    <row r="12" spans="1:5" x14ac:dyDescent="0.25">
      <c r="A12" s="16" t="s">
        <v>14</v>
      </c>
      <c r="B12" s="17">
        <v>5445000</v>
      </c>
      <c r="C12" s="17">
        <v>5774000</v>
      </c>
      <c r="D12" s="18">
        <f t="shared" ref="D12:D14" si="1">SUM(B12-C12)</f>
        <v>-329000</v>
      </c>
      <c r="E12" s="19"/>
    </row>
    <row r="13" spans="1:5" x14ac:dyDescent="0.25">
      <c r="A13" s="16" t="s">
        <v>15</v>
      </c>
      <c r="B13" s="17">
        <v>17905000</v>
      </c>
      <c r="C13" s="17">
        <v>7512171</v>
      </c>
      <c r="D13" s="18">
        <f t="shared" si="1"/>
        <v>10392829</v>
      </c>
      <c r="E13" s="19"/>
    </row>
    <row r="14" spans="1:5" ht="24" x14ac:dyDescent="0.25">
      <c r="A14" s="20" t="s">
        <v>16</v>
      </c>
      <c r="B14" s="17">
        <v>30824500</v>
      </c>
      <c r="C14" s="17"/>
      <c r="D14" s="18">
        <f t="shared" si="1"/>
        <v>30824500</v>
      </c>
      <c r="E14" s="19" t="s">
        <v>17</v>
      </c>
    </row>
    <row r="15" spans="1:5" x14ac:dyDescent="0.25">
      <c r="A15" s="13" t="s">
        <v>18</v>
      </c>
      <c r="B15" s="14">
        <v>23828500</v>
      </c>
      <c r="C15" s="14">
        <v>19423161</v>
      </c>
      <c r="D15" s="14">
        <f>SUM(B15-C15)</f>
        <v>4405339</v>
      </c>
      <c r="E15" s="9"/>
    </row>
    <row r="16" spans="1:5" x14ac:dyDescent="0.25">
      <c r="A16" s="16" t="s">
        <v>19</v>
      </c>
      <c r="B16" s="21">
        <f>B15*100/11.5*8.5%</f>
        <v>17612369.565217394</v>
      </c>
      <c r="C16" s="21">
        <f>C15*100/12.5*8.5%</f>
        <v>13207749.48</v>
      </c>
      <c r="D16" s="18">
        <f t="shared" ref="D16:D20" si="2">SUM(B16-C16)</f>
        <v>4404620.0852173939</v>
      </c>
      <c r="E16" s="9"/>
    </row>
    <row r="17" spans="1:5" x14ac:dyDescent="0.25">
      <c r="A17" s="16" t="s">
        <v>20</v>
      </c>
      <c r="B17" s="21">
        <f>B15*100/11.5*0.8%</f>
        <v>1657634.7826086958</v>
      </c>
      <c r="C17" s="21">
        <f>C15*100/12.5*1%</f>
        <v>1553852.8800000001</v>
      </c>
      <c r="D17" s="18">
        <f t="shared" si="2"/>
        <v>103781.90260869567</v>
      </c>
      <c r="E17" s="9"/>
    </row>
    <row r="18" spans="1:5" x14ac:dyDescent="0.25">
      <c r="A18" s="16" t="s">
        <v>21</v>
      </c>
      <c r="B18" s="21">
        <f>B15*100/11.5*1%</f>
        <v>2072043.4782608696</v>
      </c>
      <c r="C18" s="21">
        <f>C15*100/12.5*0.8%</f>
        <v>1243082.304</v>
      </c>
      <c r="D18" s="18">
        <f t="shared" si="2"/>
        <v>828961.17426086962</v>
      </c>
      <c r="E18" s="9"/>
    </row>
    <row r="19" spans="1:5" x14ac:dyDescent="0.25">
      <c r="A19" s="16" t="s">
        <v>22</v>
      </c>
      <c r="B19" s="21">
        <f>B15*100/11.5*0.2%</f>
        <v>414408.69565217395</v>
      </c>
      <c r="C19" s="21">
        <f>C15*100/12.5*0.2%</f>
        <v>310770.576</v>
      </c>
      <c r="D19" s="18">
        <f t="shared" si="2"/>
        <v>103638.11965217395</v>
      </c>
      <c r="E19" s="9"/>
    </row>
    <row r="20" spans="1:5" x14ac:dyDescent="0.25">
      <c r="A20" s="16" t="s">
        <v>23</v>
      </c>
      <c r="B20" s="21">
        <f>B15*100/11.5*2%</f>
        <v>4144086.9565217393</v>
      </c>
      <c r="C20" s="21">
        <f>C15*100/12.5*2%</f>
        <v>3107705.7600000002</v>
      </c>
      <c r="D20" s="18">
        <f t="shared" si="2"/>
        <v>1036381.196521739</v>
      </c>
      <c r="E20" s="9"/>
    </row>
    <row r="21" spans="1:5" x14ac:dyDescent="0.25">
      <c r="A21" s="13" t="s">
        <v>24</v>
      </c>
      <c r="B21" s="14">
        <f>SUM(B22+B23+B24+B25)</f>
        <v>6548100</v>
      </c>
      <c r="C21" s="14">
        <f t="shared" ref="C21:D21" si="3">SUM(C22+C23+C24+C25)</f>
        <v>6544401</v>
      </c>
      <c r="D21" s="14">
        <f t="shared" si="3"/>
        <v>3699</v>
      </c>
      <c r="E21" s="9"/>
    </row>
    <row r="22" spans="1:5" x14ac:dyDescent="0.25">
      <c r="A22" s="16" t="s">
        <v>25</v>
      </c>
      <c r="B22" s="17">
        <v>1100000</v>
      </c>
      <c r="C22" s="17">
        <v>1149001</v>
      </c>
      <c r="D22" s="18">
        <f>SUM(B22-C22)</f>
        <v>-49001</v>
      </c>
      <c r="E22" s="22"/>
    </row>
    <row r="23" spans="1:5" x14ac:dyDescent="0.25">
      <c r="A23" s="16" t="s">
        <v>26</v>
      </c>
      <c r="B23" s="17">
        <v>5207100</v>
      </c>
      <c r="C23" s="17">
        <v>5019200</v>
      </c>
      <c r="D23" s="18">
        <f t="shared" ref="D23:D25" si="4">SUM(B23-C23)</f>
        <v>187900</v>
      </c>
      <c r="E23" s="22"/>
    </row>
    <row r="24" spans="1:5" x14ac:dyDescent="0.25">
      <c r="A24" s="16" t="s">
        <v>27</v>
      </c>
      <c r="B24" s="17">
        <v>241000</v>
      </c>
      <c r="C24" s="17">
        <v>376200</v>
      </c>
      <c r="D24" s="18">
        <f t="shared" si="4"/>
        <v>-135200</v>
      </c>
      <c r="E24" s="22"/>
    </row>
    <row r="25" spans="1:5" x14ac:dyDescent="0.25">
      <c r="A25" s="16" t="s">
        <v>28</v>
      </c>
      <c r="B25" s="23"/>
      <c r="C25" s="17"/>
      <c r="D25" s="18">
        <f t="shared" si="4"/>
        <v>0</v>
      </c>
      <c r="E25" s="22"/>
    </row>
    <row r="26" spans="1:5" x14ac:dyDescent="0.25">
      <c r="A26" s="13" t="s">
        <v>29</v>
      </c>
      <c r="B26" s="14">
        <f>+SUM(B27:B32)</f>
        <v>7452000</v>
      </c>
      <c r="C26" s="14">
        <f>+SUM(C27:C32)</f>
        <v>6871358</v>
      </c>
      <c r="D26" s="14">
        <f>+SUM(D27:D32)</f>
        <v>580642</v>
      </c>
      <c r="E26" s="9"/>
    </row>
    <row r="27" spans="1:5" x14ac:dyDescent="0.25">
      <c r="A27" s="16" t="s">
        <v>30</v>
      </c>
      <c r="B27" s="17">
        <v>1875000</v>
      </c>
      <c r="C27" s="17">
        <v>1874200</v>
      </c>
      <c r="D27" s="18">
        <f>SUM(B27-C27)</f>
        <v>800</v>
      </c>
      <c r="E27" s="24"/>
    </row>
    <row r="28" spans="1:5" x14ac:dyDescent="0.25">
      <c r="A28" s="16" t="s">
        <v>31</v>
      </c>
      <c r="B28" s="17">
        <v>1750000</v>
      </c>
      <c r="C28" s="17">
        <v>1703898</v>
      </c>
      <c r="D28" s="18">
        <f t="shared" ref="D28:D32" si="5">SUM(B28-C28)</f>
        <v>46102</v>
      </c>
      <c r="E28" s="22"/>
    </row>
    <row r="29" spans="1:5" x14ac:dyDescent="0.25">
      <c r="A29" s="16" t="s">
        <v>32</v>
      </c>
      <c r="B29" s="17">
        <v>1561000</v>
      </c>
      <c r="C29" s="17">
        <v>1326890</v>
      </c>
      <c r="D29" s="18">
        <f t="shared" si="5"/>
        <v>234110</v>
      </c>
      <c r="E29" s="24"/>
    </row>
    <row r="30" spans="1:5" x14ac:dyDescent="0.25">
      <c r="A30" s="16" t="s">
        <v>33</v>
      </c>
      <c r="B30" s="17">
        <v>208500</v>
      </c>
      <c r="C30" s="17">
        <v>163100</v>
      </c>
      <c r="D30" s="18">
        <f t="shared" si="5"/>
        <v>45400</v>
      </c>
      <c r="E30" s="24"/>
    </row>
    <row r="31" spans="1:5" x14ac:dyDescent="0.25">
      <c r="A31" s="16" t="s">
        <v>34</v>
      </c>
      <c r="B31" s="23">
        <v>307500</v>
      </c>
      <c r="C31" s="17">
        <v>53760</v>
      </c>
      <c r="D31" s="18">
        <f t="shared" si="5"/>
        <v>253740</v>
      </c>
      <c r="E31" s="24"/>
    </row>
    <row r="32" spans="1:5" x14ac:dyDescent="0.25">
      <c r="A32" s="16" t="s">
        <v>35</v>
      </c>
      <c r="B32" s="17">
        <v>1750000</v>
      </c>
      <c r="C32" s="17">
        <v>1749510</v>
      </c>
      <c r="D32" s="18">
        <f t="shared" si="5"/>
        <v>490</v>
      </c>
      <c r="E32" s="24"/>
    </row>
    <row r="33" spans="1:5" x14ac:dyDescent="0.25">
      <c r="A33" s="13" t="s">
        <v>36</v>
      </c>
      <c r="B33" s="14">
        <f>+SUM(B34:B35)</f>
        <v>0</v>
      </c>
      <c r="C33" s="14">
        <f>+SUM(C34:C35)</f>
        <v>0</v>
      </c>
      <c r="D33" s="14">
        <f>+SUM(D34:D35)</f>
        <v>0</v>
      </c>
      <c r="E33" s="9"/>
    </row>
    <row r="34" spans="1:5" x14ac:dyDescent="0.25">
      <c r="A34" s="16" t="s">
        <v>37</v>
      </c>
      <c r="B34" s="17"/>
      <c r="C34" s="17"/>
      <c r="D34" s="18"/>
      <c r="E34" s="9"/>
    </row>
    <row r="35" spans="1:5" x14ac:dyDescent="0.25">
      <c r="A35" s="16" t="s">
        <v>38</v>
      </c>
      <c r="B35" s="17"/>
      <c r="C35" s="17"/>
      <c r="D35" s="18"/>
      <c r="E35" s="9"/>
    </row>
    <row r="36" spans="1:5" x14ac:dyDescent="0.25">
      <c r="A36" s="13" t="s">
        <v>39</v>
      </c>
      <c r="B36" s="14">
        <f>+SUM(B37:B39)</f>
        <v>746300</v>
      </c>
      <c r="C36" s="14">
        <f>+SUM(C37:C39)</f>
        <v>746250</v>
      </c>
      <c r="D36" s="14">
        <f>+SUM(D37:D39)</f>
        <v>50</v>
      </c>
      <c r="E36" s="9"/>
    </row>
    <row r="37" spans="1:5" x14ac:dyDescent="0.25">
      <c r="A37" s="16" t="s">
        <v>40</v>
      </c>
      <c r="B37" s="17"/>
      <c r="C37" s="17"/>
      <c r="D37" s="18"/>
      <c r="E37" s="9"/>
    </row>
    <row r="38" spans="1:5" x14ac:dyDescent="0.25">
      <c r="A38" s="16" t="s">
        <v>41</v>
      </c>
      <c r="B38" s="17"/>
      <c r="C38" s="17"/>
      <c r="D38" s="18"/>
      <c r="E38" s="9"/>
    </row>
    <row r="39" spans="1:5" x14ac:dyDescent="0.25">
      <c r="A39" s="16" t="s">
        <v>42</v>
      </c>
      <c r="B39" s="17">
        <v>746300</v>
      </c>
      <c r="C39" s="17">
        <v>746250</v>
      </c>
      <c r="D39" s="18">
        <f>SUM(B39-C39)</f>
        <v>50</v>
      </c>
      <c r="E39" s="9"/>
    </row>
    <row r="40" spans="1:5" x14ac:dyDescent="0.25">
      <c r="A40" s="13" t="s">
        <v>43</v>
      </c>
      <c r="B40" s="14">
        <f>+SUM(B41:B43)</f>
        <v>138000</v>
      </c>
      <c r="C40" s="14">
        <f>+SUM(C41:C43)</f>
        <v>138000</v>
      </c>
      <c r="D40" s="14">
        <f>+SUM(D41:D43)</f>
        <v>0</v>
      </c>
      <c r="E40" s="9"/>
    </row>
    <row r="41" spans="1:5" x14ac:dyDescent="0.25">
      <c r="A41" s="16" t="s">
        <v>44</v>
      </c>
      <c r="B41" s="17"/>
      <c r="C41" s="17"/>
      <c r="D41" s="18"/>
      <c r="E41" s="9"/>
    </row>
    <row r="42" spans="1:5" x14ac:dyDescent="0.25">
      <c r="A42" s="16" t="s">
        <v>45</v>
      </c>
      <c r="B42" s="17">
        <v>138000</v>
      </c>
      <c r="C42" s="17">
        <v>138000</v>
      </c>
      <c r="D42" s="18">
        <f>SUM(B42-C42)</f>
        <v>0</v>
      </c>
      <c r="E42" s="9"/>
    </row>
    <row r="43" spans="1:5" x14ac:dyDescent="0.25">
      <c r="A43" s="16" t="s">
        <v>46</v>
      </c>
      <c r="B43" s="17"/>
      <c r="C43" s="17"/>
      <c r="D43" s="18"/>
      <c r="E43" s="9"/>
    </row>
    <row r="44" spans="1:5" x14ac:dyDescent="0.25">
      <c r="A44" s="13" t="s">
        <v>47</v>
      </c>
      <c r="B44" s="14">
        <f>+SUM(B45:B52)</f>
        <v>6961600</v>
      </c>
      <c r="C44" s="14">
        <f>+SUM(C45:C52)</f>
        <v>6458156</v>
      </c>
      <c r="D44" s="14">
        <f>+SUM(D45:D52)</f>
        <v>503444</v>
      </c>
      <c r="E44" s="9"/>
    </row>
    <row r="45" spans="1:5" x14ac:dyDescent="0.25">
      <c r="A45" s="16" t="s">
        <v>48</v>
      </c>
      <c r="B45" s="23">
        <v>324000</v>
      </c>
      <c r="C45" s="17">
        <v>324000</v>
      </c>
      <c r="D45" s="18">
        <f>SUM(B45-C45)</f>
        <v>0</v>
      </c>
      <c r="E45" s="25"/>
    </row>
    <row r="46" spans="1:5" x14ac:dyDescent="0.25">
      <c r="A46" s="16" t="s">
        <v>49</v>
      </c>
      <c r="B46" s="23">
        <v>350000</v>
      </c>
      <c r="C46" s="17">
        <v>0</v>
      </c>
      <c r="D46" s="18">
        <f t="shared" ref="D46:D62" si="6">SUM(B46-C46)</f>
        <v>350000</v>
      </c>
      <c r="E46" s="9"/>
    </row>
    <row r="47" spans="1:5" x14ac:dyDescent="0.25">
      <c r="A47" s="26" t="s">
        <v>50</v>
      </c>
      <c r="B47" s="27">
        <v>6050000</v>
      </c>
      <c r="C47" s="17">
        <v>6050000</v>
      </c>
      <c r="D47" s="18">
        <f t="shared" si="6"/>
        <v>0</v>
      </c>
      <c r="E47" s="28"/>
    </row>
    <row r="48" spans="1:5" x14ac:dyDescent="0.25">
      <c r="A48" s="16" t="s">
        <v>51</v>
      </c>
      <c r="B48" s="23">
        <v>192000</v>
      </c>
      <c r="C48" s="17">
        <v>38556</v>
      </c>
      <c r="D48" s="18">
        <f t="shared" si="6"/>
        <v>153444</v>
      </c>
      <c r="E48" s="9"/>
    </row>
    <row r="49" spans="1:5" x14ac:dyDescent="0.25">
      <c r="A49" s="16" t="s">
        <v>52</v>
      </c>
      <c r="B49" s="27">
        <v>22000</v>
      </c>
      <c r="C49" s="17">
        <v>22000</v>
      </c>
      <c r="D49" s="18">
        <f t="shared" si="6"/>
        <v>0</v>
      </c>
      <c r="E49" s="9"/>
    </row>
    <row r="50" spans="1:5" x14ac:dyDescent="0.25">
      <c r="A50" s="16" t="s">
        <v>53</v>
      </c>
      <c r="B50" s="27">
        <v>23600</v>
      </c>
      <c r="C50" s="17">
        <v>23600</v>
      </c>
      <c r="D50" s="18">
        <f t="shared" si="6"/>
        <v>0</v>
      </c>
      <c r="E50" s="9"/>
    </row>
    <row r="51" spans="1:5" x14ac:dyDescent="0.25">
      <c r="A51" s="16" t="s">
        <v>54</v>
      </c>
      <c r="B51" s="23"/>
      <c r="C51" s="17"/>
      <c r="D51" s="18">
        <f t="shared" si="6"/>
        <v>0</v>
      </c>
      <c r="E51" s="9"/>
    </row>
    <row r="52" spans="1:5" x14ac:dyDescent="0.25">
      <c r="A52" s="29" t="s">
        <v>55</v>
      </c>
      <c r="B52" s="23"/>
      <c r="C52" s="17"/>
      <c r="D52" s="18">
        <f t="shared" si="6"/>
        <v>0</v>
      </c>
      <c r="E52" s="9"/>
    </row>
    <row r="53" spans="1:5" x14ac:dyDescent="0.25">
      <c r="A53" s="13" t="s">
        <v>56</v>
      </c>
      <c r="B53" s="14">
        <f>SUM(B55+B54+B56)</f>
        <v>1800000</v>
      </c>
      <c r="C53" s="14">
        <f>SUM(C55+C54+C56)</f>
        <v>0</v>
      </c>
      <c r="D53" s="14">
        <f>SUM(D55+D54+D56)</f>
        <v>1800000</v>
      </c>
      <c r="E53" s="9"/>
    </row>
    <row r="54" spans="1:5" x14ac:dyDescent="0.25">
      <c r="A54" s="16" t="s">
        <v>57</v>
      </c>
      <c r="B54" s="17">
        <v>1800000</v>
      </c>
      <c r="C54" s="17">
        <v>0</v>
      </c>
      <c r="D54" s="18">
        <f>SUM(B54-C54)</f>
        <v>1800000</v>
      </c>
      <c r="E54" s="9"/>
    </row>
    <row r="55" spans="1:5" x14ac:dyDescent="0.25">
      <c r="A55" s="16" t="s">
        <v>54</v>
      </c>
      <c r="B55" s="17">
        <v>0</v>
      </c>
      <c r="C55" s="17">
        <v>0</v>
      </c>
      <c r="D55" s="18">
        <f>SUM(B55-C55)</f>
        <v>0</v>
      </c>
      <c r="E55" s="9"/>
    </row>
    <row r="56" spans="1:5" x14ac:dyDescent="0.25">
      <c r="A56" s="16" t="s">
        <v>58</v>
      </c>
      <c r="B56" s="17">
        <v>0</v>
      </c>
      <c r="C56" s="17"/>
      <c r="D56" s="18">
        <v>0</v>
      </c>
      <c r="E56" s="9"/>
    </row>
    <row r="57" spans="1:5" x14ac:dyDescent="0.25">
      <c r="A57" s="30" t="s">
        <v>59</v>
      </c>
      <c r="B57" s="31">
        <v>0</v>
      </c>
      <c r="C57" s="31">
        <v>0</v>
      </c>
      <c r="D57" s="31"/>
      <c r="E57" s="9"/>
    </row>
    <row r="58" spans="1:5" x14ac:dyDescent="0.25">
      <c r="A58" s="32" t="s">
        <v>60</v>
      </c>
      <c r="B58" s="17">
        <v>0</v>
      </c>
      <c r="C58" s="17">
        <v>0</v>
      </c>
      <c r="D58" s="18"/>
      <c r="E58" s="9"/>
    </row>
    <row r="59" spans="1:5" x14ac:dyDescent="0.25">
      <c r="A59" s="13" t="s">
        <v>61</v>
      </c>
      <c r="B59" s="14" t="str">
        <f>+B61</f>
        <v>0.0.</v>
      </c>
      <c r="C59" s="14">
        <f>+SUM(C61)</f>
        <v>0</v>
      </c>
      <c r="D59" s="33">
        <v>0</v>
      </c>
      <c r="E59" s="9"/>
    </row>
    <row r="60" spans="1:5" x14ac:dyDescent="0.25">
      <c r="A60" s="13" t="s">
        <v>62</v>
      </c>
      <c r="B60" s="14" t="str">
        <f>+B61</f>
        <v>0.0.</v>
      </c>
      <c r="C60" s="14">
        <f>+C61</f>
        <v>0</v>
      </c>
      <c r="D60" s="33">
        <v>0</v>
      </c>
      <c r="E60" s="9"/>
    </row>
    <row r="61" spans="1:5" x14ac:dyDescent="0.25">
      <c r="A61" s="16" t="s">
        <v>63</v>
      </c>
      <c r="B61" s="23" t="s">
        <v>64</v>
      </c>
      <c r="C61" s="17">
        <v>0</v>
      </c>
      <c r="D61" s="18">
        <v>0</v>
      </c>
      <c r="E61" s="9"/>
    </row>
    <row r="62" spans="1:5" x14ac:dyDescent="0.25">
      <c r="A62" s="13" t="s">
        <v>65</v>
      </c>
      <c r="B62" s="14">
        <f>+B63</f>
        <v>220500</v>
      </c>
      <c r="C62" s="14">
        <f>+C63</f>
        <v>0</v>
      </c>
      <c r="D62" s="33">
        <f t="shared" si="6"/>
        <v>220500</v>
      </c>
      <c r="E62" s="9"/>
    </row>
    <row r="63" spans="1:5" x14ac:dyDescent="0.25">
      <c r="A63" s="13" t="s">
        <v>66</v>
      </c>
      <c r="B63" s="14">
        <f>SUM(B64+B65+B66)</f>
        <v>220500</v>
      </c>
      <c r="C63" s="14">
        <f t="shared" ref="C63:D63" si="7">SUM(C64+C65+C66)</f>
        <v>0</v>
      </c>
      <c r="D63" s="14">
        <f t="shared" si="7"/>
        <v>220500</v>
      </c>
      <c r="E63" s="9"/>
    </row>
    <row r="64" spans="1:5" x14ac:dyDescent="0.25">
      <c r="A64" s="16" t="s">
        <v>67</v>
      </c>
      <c r="B64" s="23">
        <v>0</v>
      </c>
      <c r="C64" s="34"/>
      <c r="D64" s="18">
        <v>0</v>
      </c>
      <c r="E64" s="9"/>
    </row>
    <row r="65" spans="1:5" x14ac:dyDescent="0.25">
      <c r="A65" s="26" t="s">
        <v>68</v>
      </c>
      <c r="B65" s="23">
        <v>0</v>
      </c>
      <c r="C65" s="34"/>
      <c r="D65" s="18">
        <v>0</v>
      </c>
      <c r="E65" s="9"/>
    </row>
    <row r="66" spans="1:5" x14ac:dyDescent="0.25">
      <c r="A66" s="35" t="s">
        <v>69</v>
      </c>
      <c r="B66" s="23">
        <v>220500</v>
      </c>
      <c r="C66" s="36"/>
      <c r="D66" s="18">
        <v>220500</v>
      </c>
      <c r="E66" s="9"/>
    </row>
    <row r="67" spans="1:5" x14ac:dyDescent="0.25">
      <c r="A67" s="13" t="s">
        <v>70</v>
      </c>
      <c r="B67" s="37">
        <f>SUM(B68+B70)</f>
        <v>224225000</v>
      </c>
      <c r="C67" s="37">
        <f>SUM(C68+C70)</f>
        <v>202745695</v>
      </c>
      <c r="D67" s="14">
        <f>+B67-C67</f>
        <v>21479305</v>
      </c>
      <c r="E67" s="9"/>
    </row>
    <row r="68" spans="1:5" x14ac:dyDescent="0.25">
      <c r="A68" s="13" t="s">
        <v>71</v>
      </c>
      <c r="B68" s="37">
        <f>+B69</f>
        <v>224205000</v>
      </c>
      <c r="C68" s="37">
        <f>+C69</f>
        <v>202745695</v>
      </c>
      <c r="D68" s="37">
        <f>+D69</f>
        <v>21459305</v>
      </c>
      <c r="E68" s="9"/>
    </row>
    <row r="69" spans="1:5" x14ac:dyDescent="0.25">
      <c r="A69" s="16" t="s">
        <v>72</v>
      </c>
      <c r="B69" s="38">
        <f>SUM(B10+B15+B21+B26+B36+B40+B44+B53+B57+B62)</f>
        <v>224205000</v>
      </c>
      <c r="C69" s="38">
        <f>SUM(C10+C15+C21+C26+C36+C40+C44+C53+C57+C62)</f>
        <v>202745695</v>
      </c>
      <c r="D69" s="18">
        <f>SUM(B69-C69)</f>
        <v>21459305</v>
      </c>
      <c r="E69" s="9"/>
    </row>
    <row r="70" spans="1:5" x14ac:dyDescent="0.25">
      <c r="A70" s="13" t="s">
        <v>73</v>
      </c>
      <c r="B70" s="37">
        <f>+B71</f>
        <v>20000</v>
      </c>
      <c r="C70" s="37">
        <v>0</v>
      </c>
      <c r="D70" s="39"/>
      <c r="E70" s="9"/>
    </row>
    <row r="71" spans="1:5" x14ac:dyDescent="0.25">
      <c r="A71" s="40" t="s">
        <v>74</v>
      </c>
      <c r="B71" s="38">
        <v>20000</v>
      </c>
      <c r="C71" s="38"/>
      <c r="D71" s="38"/>
      <c r="E71" s="9"/>
    </row>
    <row r="72" spans="1:5" x14ac:dyDescent="0.25">
      <c r="A72" s="40" t="s">
        <v>75</v>
      </c>
      <c r="B72" s="17"/>
      <c r="C72" s="34">
        <v>0</v>
      </c>
      <c r="D72" s="12"/>
      <c r="E72" s="9"/>
    </row>
    <row r="73" spans="1:5" x14ac:dyDescent="0.25">
      <c r="A73" s="41" t="s">
        <v>76</v>
      </c>
      <c r="B73" s="17">
        <v>20000</v>
      </c>
      <c r="C73" s="34"/>
      <c r="D73" s="12"/>
      <c r="E73" s="9"/>
    </row>
    <row r="74" spans="1:5" x14ac:dyDescent="0.25">
      <c r="A74" s="40" t="s">
        <v>77</v>
      </c>
      <c r="B74" s="17"/>
      <c r="C74" s="34">
        <v>0</v>
      </c>
      <c r="D74" s="12"/>
      <c r="E74" s="9"/>
    </row>
    <row r="75" spans="1:5" x14ac:dyDescent="0.25">
      <c r="A75" s="40" t="s">
        <v>78</v>
      </c>
      <c r="B75" s="17"/>
      <c r="C75" s="34">
        <v>0</v>
      </c>
      <c r="D75" s="12"/>
      <c r="E75" s="9"/>
    </row>
    <row r="76" spans="1:5" x14ac:dyDescent="0.25">
      <c r="A76" s="40" t="s">
        <v>79</v>
      </c>
      <c r="B76" s="17"/>
      <c r="C76" s="34">
        <v>0</v>
      </c>
      <c r="D76" s="12"/>
      <c r="E76" s="9"/>
    </row>
    <row r="77" spans="1:5" x14ac:dyDescent="0.25">
      <c r="A77" s="40" t="s">
        <v>80</v>
      </c>
      <c r="B77" s="17"/>
      <c r="C77" s="34"/>
      <c r="D77" s="12"/>
      <c r="E77" s="9"/>
    </row>
    <row r="78" spans="1:5" x14ac:dyDescent="0.25">
      <c r="A78" s="42" t="s">
        <v>81</v>
      </c>
      <c r="B78" s="17"/>
      <c r="C78" s="34"/>
      <c r="D78" s="12"/>
      <c r="E78" s="9"/>
    </row>
    <row r="79" spans="1:5" x14ac:dyDescent="0.25">
      <c r="A79" s="13" t="s">
        <v>82</v>
      </c>
      <c r="B79" s="33"/>
      <c r="C79" s="43"/>
      <c r="D79" s="44"/>
      <c r="E79" s="45"/>
    </row>
    <row r="80" spans="1:5" x14ac:dyDescent="0.25">
      <c r="A80" s="13" t="s">
        <v>83</v>
      </c>
      <c r="B80" s="33">
        <v>31</v>
      </c>
      <c r="C80" s="33">
        <v>31</v>
      </c>
      <c r="D80" s="33">
        <f t="shared" ref="D80" si="8">SUM(D81:D84)</f>
        <v>0</v>
      </c>
      <c r="E80" s="9"/>
    </row>
    <row r="81" spans="1:5" x14ac:dyDescent="0.25">
      <c r="A81" s="16" t="s">
        <v>84</v>
      </c>
      <c r="B81" s="17">
        <v>1</v>
      </c>
      <c r="C81" s="17">
        <v>1</v>
      </c>
      <c r="D81" s="17"/>
      <c r="E81" s="9"/>
    </row>
    <row r="82" spans="1:5" x14ac:dyDescent="0.25">
      <c r="A82" s="16" t="s">
        <v>85</v>
      </c>
      <c r="B82" s="17">
        <v>27</v>
      </c>
      <c r="C82" s="17">
        <v>27</v>
      </c>
      <c r="D82" s="17"/>
      <c r="E82" s="9"/>
    </row>
    <row r="83" spans="1:5" x14ac:dyDescent="0.25">
      <c r="A83" s="16" t="s">
        <v>86</v>
      </c>
      <c r="B83" s="17">
        <v>3</v>
      </c>
      <c r="C83" s="17">
        <v>3</v>
      </c>
      <c r="D83" s="17"/>
      <c r="E83" s="9"/>
    </row>
    <row r="84" spans="1:5" x14ac:dyDescent="0.25">
      <c r="A84" s="16" t="s">
        <v>87</v>
      </c>
      <c r="B84" s="17"/>
      <c r="C84" s="17"/>
      <c r="D84" s="17"/>
      <c r="E84" s="9"/>
    </row>
    <row r="85" spans="1:5" x14ac:dyDescent="0.25">
      <c r="A85" s="46"/>
      <c r="B85" s="47"/>
      <c r="C85" s="47"/>
      <c r="D85" s="47"/>
      <c r="E85" t="s">
        <v>88</v>
      </c>
    </row>
    <row r="86" spans="1:5" ht="27" customHeight="1" x14ac:dyDescent="0.25">
      <c r="A86" s="74" t="s">
        <v>89</v>
      </c>
      <c r="B86" s="74"/>
      <c r="C86" s="74"/>
      <c r="D86" s="74"/>
      <c r="E86" s="74"/>
    </row>
    <row r="87" spans="1:5" ht="59.25" customHeight="1" x14ac:dyDescent="0.25">
      <c r="A87" s="75" t="s">
        <v>90</v>
      </c>
      <c r="B87" s="75"/>
      <c r="C87" s="75"/>
      <c r="D87" s="75"/>
      <c r="E87" s="75"/>
    </row>
    <row r="90" spans="1:5" x14ac:dyDescent="0.25">
      <c r="A90" s="48"/>
    </row>
  </sheetData>
  <mergeCells count="4">
    <mergeCell ref="A2:E2"/>
    <mergeCell ref="D4:E4"/>
    <mergeCell ref="A86:E86"/>
    <mergeCell ref="A87:E8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C1BA2-85CF-42EA-A1C0-313DEE586057}">
  <dimension ref="A1:AB46"/>
  <sheetViews>
    <sheetView workbookViewId="0">
      <selection activeCell="K33" sqref="K33"/>
    </sheetView>
  </sheetViews>
  <sheetFormatPr defaultRowHeight="12.75" x14ac:dyDescent="0.25"/>
  <cols>
    <col min="1" max="1" width="3.42578125" style="54" customWidth="1"/>
    <col min="2" max="2" width="14.7109375" style="54" customWidth="1"/>
    <col min="3" max="3" width="10.7109375" style="54" customWidth="1"/>
    <col min="4" max="4" width="3.140625" style="54" customWidth="1"/>
    <col min="5" max="5" width="9.42578125" style="54" customWidth="1"/>
    <col min="6" max="6" width="9.7109375" style="54" customWidth="1"/>
    <col min="7" max="7" width="4.28515625" style="54" customWidth="1"/>
    <col min="8" max="8" width="8.28515625" style="54" customWidth="1"/>
    <col min="9" max="9" width="3.5703125" style="54" customWidth="1"/>
    <col min="10" max="10" width="8" style="54" customWidth="1"/>
    <col min="11" max="11" width="4.28515625" style="54" customWidth="1"/>
    <col min="12" max="12" width="7.85546875" style="54" customWidth="1"/>
    <col min="13" max="13" width="4.140625" style="54" customWidth="1"/>
    <col min="14" max="14" width="8.28515625" style="54" customWidth="1"/>
    <col min="15" max="15" width="3.7109375" style="54" customWidth="1"/>
    <col min="16" max="16" width="8" style="54" customWidth="1"/>
    <col min="17" max="17" width="8.28515625" style="54" customWidth="1"/>
    <col min="18" max="19" width="5.85546875" style="54" customWidth="1"/>
    <col min="20" max="20" width="11.5703125" style="54" customWidth="1"/>
    <col min="21" max="21" width="9.28515625" style="54" customWidth="1"/>
    <col min="22" max="22" width="9.85546875" style="54" customWidth="1"/>
    <col min="23" max="23" width="10.140625" style="54" customWidth="1"/>
    <col min="24" max="24" width="7" style="54" customWidth="1"/>
    <col min="25" max="25" width="8.5703125" style="54" customWidth="1"/>
    <col min="26" max="26" width="8.42578125" style="54" customWidth="1"/>
    <col min="27" max="27" width="9.7109375" style="54" customWidth="1"/>
    <col min="28" max="28" width="10.85546875" style="54" customWidth="1"/>
    <col min="29" max="16384" width="9.140625" style="54"/>
  </cols>
  <sheetData>
    <row r="1" spans="1:28" x14ac:dyDescent="0.25">
      <c r="A1" s="76" t="s">
        <v>109</v>
      </c>
      <c r="B1" s="76"/>
      <c r="C1" s="76"/>
      <c r="D1" s="76"/>
      <c r="E1" s="76"/>
      <c r="F1" s="76"/>
      <c r="G1" s="76"/>
      <c r="H1" s="76"/>
      <c r="I1" s="76"/>
      <c r="J1" s="76"/>
      <c r="K1" s="76"/>
      <c r="L1" s="76"/>
      <c r="M1" s="76"/>
      <c r="N1" s="76"/>
      <c r="O1" s="76"/>
      <c r="P1" s="76"/>
      <c r="Q1" s="76"/>
      <c r="R1" s="76"/>
      <c r="S1" s="76"/>
      <c r="T1" s="76"/>
      <c r="U1" s="76"/>
      <c r="V1" s="76"/>
      <c r="W1" s="76"/>
      <c r="X1" s="76"/>
      <c r="Y1" s="76"/>
      <c r="Z1" s="76"/>
      <c r="AA1" s="76"/>
      <c r="AB1" s="76"/>
    </row>
    <row r="2" spans="1:28" ht="17.25" customHeight="1" x14ac:dyDescent="0.25">
      <c r="A2" s="77" t="s">
        <v>110</v>
      </c>
      <c r="B2" s="77"/>
      <c r="C2" s="77"/>
      <c r="D2" s="77"/>
      <c r="E2" s="77"/>
      <c r="F2" s="77"/>
      <c r="G2" s="77"/>
      <c r="H2" s="77"/>
      <c r="I2" s="77"/>
    </row>
    <row r="3" spans="1:28" x14ac:dyDescent="0.25">
      <c r="A3" s="55"/>
      <c r="B3" s="55"/>
      <c r="C3" s="55"/>
      <c r="D3" s="55"/>
      <c r="E3" s="55"/>
      <c r="F3" s="55"/>
      <c r="G3" s="55"/>
    </row>
    <row r="4" spans="1:28" ht="16.5" customHeight="1" x14ac:dyDescent="0.25">
      <c r="A4" s="77" t="s">
        <v>111</v>
      </c>
      <c r="B4" s="77"/>
      <c r="C4" s="77"/>
      <c r="D4" s="77"/>
      <c r="E4" s="77"/>
      <c r="F4" s="77"/>
      <c r="G4" s="77"/>
      <c r="AA4" s="78" t="s">
        <v>112</v>
      </c>
      <c r="AB4" s="79"/>
    </row>
    <row r="6" spans="1:28" ht="14.25" x14ac:dyDescent="0.25">
      <c r="A6" s="80" t="s">
        <v>113</v>
      </c>
      <c r="B6" s="81" t="s">
        <v>114</v>
      </c>
      <c r="C6" s="82" t="s">
        <v>115</v>
      </c>
      <c r="D6" s="83" t="s">
        <v>116</v>
      </c>
      <c r="E6" s="82" t="s">
        <v>117</v>
      </c>
      <c r="F6" s="82" t="s">
        <v>118</v>
      </c>
      <c r="G6" s="84" t="s">
        <v>119</v>
      </c>
      <c r="H6" s="85"/>
      <c r="I6" s="85"/>
      <c r="J6" s="85"/>
      <c r="K6" s="85"/>
      <c r="L6" s="85"/>
      <c r="M6" s="85"/>
      <c r="N6" s="85"/>
      <c r="O6" s="85"/>
      <c r="P6" s="85"/>
      <c r="Q6" s="85"/>
      <c r="R6" s="85"/>
      <c r="S6" s="86"/>
      <c r="T6" s="83" t="s">
        <v>120</v>
      </c>
      <c r="U6" s="87" t="s">
        <v>121</v>
      </c>
      <c r="V6" s="87"/>
      <c r="W6" s="87"/>
      <c r="X6" s="87"/>
      <c r="Y6" s="87"/>
      <c r="Z6" s="87"/>
      <c r="AA6" s="82" t="s">
        <v>122</v>
      </c>
      <c r="AB6" s="82" t="s">
        <v>123</v>
      </c>
    </row>
    <row r="7" spans="1:28" ht="30" customHeight="1" x14ac:dyDescent="0.25">
      <c r="A7" s="80"/>
      <c r="B7" s="81"/>
      <c r="C7" s="82"/>
      <c r="D7" s="83"/>
      <c r="E7" s="82"/>
      <c r="F7" s="82"/>
      <c r="G7" s="88" t="s">
        <v>124</v>
      </c>
      <c r="H7" s="88"/>
      <c r="I7" s="88" t="s">
        <v>125</v>
      </c>
      <c r="J7" s="88"/>
      <c r="K7" s="88" t="s">
        <v>126</v>
      </c>
      <c r="L7" s="88"/>
      <c r="M7" s="88" t="s">
        <v>127</v>
      </c>
      <c r="N7" s="88"/>
      <c r="O7" s="88" t="s">
        <v>128</v>
      </c>
      <c r="P7" s="88"/>
      <c r="Q7" s="82" t="s">
        <v>129</v>
      </c>
      <c r="R7" s="92" t="s">
        <v>130</v>
      </c>
      <c r="S7" s="92" t="s">
        <v>131</v>
      </c>
      <c r="T7" s="83"/>
      <c r="U7" s="82" t="s">
        <v>132</v>
      </c>
      <c r="V7" s="82" t="s">
        <v>133</v>
      </c>
      <c r="W7" s="89" t="s">
        <v>134</v>
      </c>
      <c r="X7" s="89" t="s">
        <v>135</v>
      </c>
      <c r="Y7" s="89" t="s">
        <v>136</v>
      </c>
      <c r="Z7" s="89" t="s">
        <v>137</v>
      </c>
      <c r="AA7" s="82"/>
      <c r="AB7" s="82"/>
    </row>
    <row r="8" spans="1:28" ht="30.75" customHeight="1" x14ac:dyDescent="0.25">
      <c r="A8" s="80"/>
      <c r="B8" s="81"/>
      <c r="C8" s="82"/>
      <c r="D8" s="83"/>
      <c r="E8" s="82"/>
      <c r="F8" s="82"/>
      <c r="G8" s="56" t="s">
        <v>138</v>
      </c>
      <c r="H8" s="56" t="s">
        <v>139</v>
      </c>
      <c r="I8" s="56" t="s">
        <v>138</v>
      </c>
      <c r="J8" s="56" t="s">
        <v>140</v>
      </c>
      <c r="K8" s="56" t="s">
        <v>138</v>
      </c>
      <c r="L8" s="56" t="s">
        <v>140</v>
      </c>
      <c r="M8" s="56" t="s">
        <v>138</v>
      </c>
      <c r="N8" s="56" t="s">
        <v>140</v>
      </c>
      <c r="O8" s="56" t="s">
        <v>138</v>
      </c>
      <c r="P8" s="56" t="s">
        <v>140</v>
      </c>
      <c r="Q8" s="82"/>
      <c r="R8" s="93"/>
      <c r="S8" s="93"/>
      <c r="T8" s="83"/>
      <c r="U8" s="82"/>
      <c r="V8" s="82"/>
      <c r="W8" s="89"/>
      <c r="X8" s="89"/>
      <c r="Y8" s="89"/>
      <c r="Z8" s="89"/>
      <c r="AA8" s="82"/>
      <c r="AB8" s="82"/>
    </row>
    <row r="9" spans="1:28" x14ac:dyDescent="0.25">
      <c r="A9" s="57">
        <v>1</v>
      </c>
      <c r="B9" s="58" t="s">
        <v>141</v>
      </c>
      <c r="C9" s="59" t="s">
        <v>142</v>
      </c>
      <c r="D9" s="57">
        <v>21</v>
      </c>
      <c r="E9" s="57">
        <v>1088657</v>
      </c>
      <c r="F9" s="57">
        <v>1088657</v>
      </c>
      <c r="G9" s="57">
        <v>26</v>
      </c>
      <c r="H9" s="60">
        <f>SUM(F9*G9%)</f>
        <v>283050.82</v>
      </c>
      <c r="I9" s="57">
        <v>20</v>
      </c>
      <c r="J9" s="60">
        <f>SUM(F9*I9%)</f>
        <v>217731.40000000002</v>
      </c>
      <c r="K9" s="57"/>
      <c r="L9" s="57"/>
      <c r="M9" s="57"/>
      <c r="N9" s="57"/>
      <c r="O9" s="57"/>
      <c r="P9" s="57"/>
      <c r="Q9" s="57">
        <v>40000</v>
      </c>
      <c r="R9" s="57"/>
      <c r="S9" s="57"/>
      <c r="T9" s="60">
        <f>SUM(F9+H9+J9+L9+N9+P9+Q9+R9+S9)</f>
        <v>1629439.2200000002</v>
      </c>
      <c r="U9" s="60">
        <f>SUM(T9*11.5%)</f>
        <v>187385.51030000002</v>
      </c>
      <c r="V9" s="60">
        <f>SUM((T9-U9)*10%-16000)</f>
        <v>128205.37097000002</v>
      </c>
      <c r="W9" s="60">
        <v>300000</v>
      </c>
      <c r="X9" s="60"/>
      <c r="Y9" s="60">
        <v>20000</v>
      </c>
      <c r="Z9" s="57">
        <v>10000</v>
      </c>
      <c r="AA9" s="60">
        <f t="shared" ref="AA9:AA38" si="0">SUM(U9+V9+W9+X9+Y9+Z9)</f>
        <v>645590.88127000001</v>
      </c>
      <c r="AB9" s="60">
        <f>SUM(T9-AA9)</f>
        <v>983848.33873000019</v>
      </c>
    </row>
    <row r="10" spans="1:28" x14ac:dyDescent="0.25">
      <c r="A10" s="57">
        <v>2</v>
      </c>
      <c r="B10" s="58" t="s">
        <v>143</v>
      </c>
      <c r="C10" s="58" t="s">
        <v>144</v>
      </c>
      <c r="D10" s="57">
        <v>21</v>
      </c>
      <c r="E10" s="57">
        <v>813214</v>
      </c>
      <c r="F10" s="57">
        <v>813214</v>
      </c>
      <c r="G10" s="57">
        <v>22</v>
      </c>
      <c r="H10" s="60">
        <f t="shared" ref="H10:H36" si="1">SUM(F10*G10%)</f>
        <v>178907.08</v>
      </c>
      <c r="I10" s="57">
        <v>15</v>
      </c>
      <c r="J10" s="60">
        <f t="shared" ref="J10:J36" si="2">SUM(F10*I10%)</f>
        <v>121982.09999999999</v>
      </c>
      <c r="K10" s="57"/>
      <c r="L10" s="57"/>
      <c r="M10" s="57"/>
      <c r="N10" s="57"/>
      <c r="O10" s="57"/>
      <c r="P10" s="57"/>
      <c r="Q10" s="57">
        <v>40000</v>
      </c>
      <c r="R10" s="57"/>
      <c r="S10" s="57"/>
      <c r="T10" s="60">
        <f t="shared" ref="T10:T38" si="3">SUM(F10+H10+J10+L10+N10+P10+Q10+R10+S10)</f>
        <v>1154103.18</v>
      </c>
      <c r="U10" s="60">
        <f t="shared" ref="U10:U38" si="4">SUM(T10*11.5%)</f>
        <v>132721.86569999999</v>
      </c>
      <c r="V10" s="60">
        <f t="shared" ref="V10:V16" si="5">SUM((T10-U10)*10%-16000)</f>
        <v>86138.131430000009</v>
      </c>
      <c r="W10" s="60"/>
      <c r="X10" s="60"/>
      <c r="Y10" s="60">
        <v>20000</v>
      </c>
      <c r="Z10" s="57">
        <v>10000</v>
      </c>
      <c r="AA10" s="60">
        <f t="shared" si="0"/>
        <v>248859.99713</v>
      </c>
      <c r="AB10" s="60">
        <f t="shared" ref="AB10:AB38" si="6">SUM(T10-AA10)</f>
        <v>905243.1828699999</v>
      </c>
    </row>
    <row r="11" spans="1:28" x14ac:dyDescent="0.25">
      <c r="A11" s="57">
        <v>3</v>
      </c>
      <c r="B11" s="58" t="s">
        <v>145</v>
      </c>
      <c r="C11" s="58" t="s">
        <v>146</v>
      </c>
      <c r="D11" s="57">
        <v>21</v>
      </c>
      <c r="E11" s="57">
        <v>853375</v>
      </c>
      <c r="F11" s="57">
        <v>853375</v>
      </c>
      <c r="G11" s="57">
        <v>24</v>
      </c>
      <c r="H11" s="60">
        <f t="shared" si="1"/>
        <v>204810</v>
      </c>
      <c r="I11" s="57">
        <v>20</v>
      </c>
      <c r="J11" s="60">
        <f t="shared" si="2"/>
        <v>170675</v>
      </c>
      <c r="K11" s="57"/>
      <c r="L11" s="57"/>
      <c r="M11" s="57"/>
      <c r="N11" s="57"/>
      <c r="O11" s="57"/>
      <c r="P11" s="57"/>
      <c r="Q11" s="57">
        <v>40000</v>
      </c>
      <c r="R11" s="57"/>
      <c r="S11" s="57"/>
      <c r="T11" s="60">
        <f t="shared" si="3"/>
        <v>1268860</v>
      </c>
      <c r="U11" s="60">
        <f t="shared" si="4"/>
        <v>145918.9</v>
      </c>
      <c r="V11" s="60">
        <f t="shared" si="5"/>
        <v>96294.110000000015</v>
      </c>
      <c r="W11" s="60">
        <v>100000</v>
      </c>
      <c r="X11" s="60"/>
      <c r="Y11" s="60">
        <v>20000</v>
      </c>
      <c r="Z11" s="57">
        <v>10000</v>
      </c>
      <c r="AA11" s="60">
        <f t="shared" si="0"/>
        <v>372213.01</v>
      </c>
      <c r="AB11" s="60">
        <f t="shared" si="6"/>
        <v>896646.99</v>
      </c>
    </row>
    <row r="12" spans="1:28" x14ac:dyDescent="0.25">
      <c r="A12" s="57">
        <v>4</v>
      </c>
      <c r="B12" s="58" t="s">
        <v>147</v>
      </c>
      <c r="C12" s="58" t="s">
        <v>146</v>
      </c>
      <c r="D12" s="57">
        <v>21</v>
      </c>
      <c r="E12" s="57">
        <v>836096</v>
      </c>
      <c r="F12" s="57">
        <v>836096</v>
      </c>
      <c r="G12" s="57">
        <v>20</v>
      </c>
      <c r="H12" s="60">
        <f t="shared" si="1"/>
        <v>167219.20000000001</v>
      </c>
      <c r="I12" s="57">
        <v>10</v>
      </c>
      <c r="J12" s="60">
        <f t="shared" si="2"/>
        <v>83609.600000000006</v>
      </c>
      <c r="K12" s="57"/>
      <c r="L12" s="57"/>
      <c r="M12" s="57"/>
      <c r="N12" s="57"/>
      <c r="O12" s="57"/>
      <c r="P12" s="60"/>
      <c r="Q12" s="57">
        <v>40000</v>
      </c>
      <c r="R12" s="57"/>
      <c r="S12" s="57"/>
      <c r="T12" s="60">
        <f t="shared" si="3"/>
        <v>1126924.8</v>
      </c>
      <c r="U12" s="60">
        <f t="shared" si="4"/>
        <v>129596.35200000001</v>
      </c>
      <c r="V12" s="60">
        <f t="shared" si="5"/>
        <v>83732.844800000021</v>
      </c>
      <c r="W12" s="60">
        <v>100000</v>
      </c>
      <c r="X12" s="60"/>
      <c r="Y12" s="60">
        <v>20000</v>
      </c>
      <c r="Z12" s="57">
        <v>10000</v>
      </c>
      <c r="AA12" s="60">
        <f t="shared" si="0"/>
        <v>343329.19680000003</v>
      </c>
      <c r="AB12" s="60">
        <f t="shared" si="6"/>
        <v>783595.60320000001</v>
      </c>
    </row>
    <row r="13" spans="1:28" x14ac:dyDescent="0.25">
      <c r="A13" s="57">
        <v>5</v>
      </c>
      <c r="B13" s="58" t="s">
        <v>148</v>
      </c>
      <c r="C13" s="58" t="s">
        <v>149</v>
      </c>
      <c r="D13" s="57">
        <v>21</v>
      </c>
      <c r="E13" s="57">
        <v>853375</v>
      </c>
      <c r="F13" s="57">
        <v>853375</v>
      </c>
      <c r="G13" s="57">
        <v>22</v>
      </c>
      <c r="H13" s="60">
        <f t="shared" si="1"/>
        <v>187742.5</v>
      </c>
      <c r="I13" s="57">
        <v>25</v>
      </c>
      <c r="J13" s="60">
        <f t="shared" si="2"/>
        <v>213343.75</v>
      </c>
      <c r="K13" s="57"/>
      <c r="L13" s="57"/>
      <c r="M13" s="57"/>
      <c r="N13" s="57"/>
      <c r="O13" s="57">
        <v>20</v>
      </c>
      <c r="P13" s="60">
        <f t="shared" ref="P13" si="7">SUM(F13*O13%)</f>
        <v>170675</v>
      </c>
      <c r="Q13" s="57">
        <v>40000</v>
      </c>
      <c r="R13" s="57"/>
      <c r="S13" s="57"/>
      <c r="T13" s="60">
        <f t="shared" si="3"/>
        <v>1465136.25</v>
      </c>
      <c r="U13" s="60">
        <f t="shared" si="4"/>
        <v>168490.66875000001</v>
      </c>
      <c r="V13" s="60">
        <f>SUM((T13-U13)*10%-16000)</f>
        <v>113664.55812500001</v>
      </c>
      <c r="W13" s="60">
        <v>500000</v>
      </c>
      <c r="X13" s="60"/>
      <c r="Y13" s="60">
        <v>20000</v>
      </c>
      <c r="Z13" s="57">
        <v>10000</v>
      </c>
      <c r="AA13" s="60">
        <f t="shared" si="0"/>
        <v>812155.22687500005</v>
      </c>
      <c r="AB13" s="60">
        <f t="shared" si="6"/>
        <v>652981.02312499995</v>
      </c>
    </row>
    <row r="14" spans="1:28" x14ac:dyDescent="0.25">
      <c r="A14" s="57">
        <v>6</v>
      </c>
      <c r="B14" s="58" t="s">
        <v>150</v>
      </c>
      <c r="C14" s="58" t="s">
        <v>151</v>
      </c>
      <c r="D14" s="57">
        <v>21</v>
      </c>
      <c r="E14" s="57">
        <v>813215</v>
      </c>
      <c r="F14" s="57">
        <v>813215</v>
      </c>
      <c r="G14" s="57">
        <v>22</v>
      </c>
      <c r="H14" s="60">
        <f t="shared" si="1"/>
        <v>178907.3</v>
      </c>
      <c r="I14" s="57">
        <v>15</v>
      </c>
      <c r="J14" s="60">
        <f t="shared" si="2"/>
        <v>121982.25</v>
      </c>
      <c r="K14" s="57"/>
      <c r="L14" s="57"/>
      <c r="M14" s="57"/>
      <c r="N14" s="57"/>
      <c r="O14" s="57"/>
      <c r="P14" s="60"/>
      <c r="Q14" s="57">
        <v>40000</v>
      </c>
      <c r="R14" s="57"/>
      <c r="S14" s="57"/>
      <c r="T14" s="60">
        <f t="shared" si="3"/>
        <v>1154104.55</v>
      </c>
      <c r="U14" s="60">
        <f t="shared" si="4"/>
        <v>132722.02325</v>
      </c>
      <c r="V14" s="60">
        <f t="shared" si="5"/>
        <v>86138.252675000011</v>
      </c>
      <c r="W14" s="60"/>
      <c r="X14" s="60"/>
      <c r="Y14" s="60">
        <v>20000</v>
      </c>
      <c r="Z14" s="57">
        <v>10000</v>
      </c>
      <c r="AA14" s="60">
        <f t="shared" si="0"/>
        <v>248860.27592500002</v>
      </c>
      <c r="AB14" s="60">
        <f t="shared" si="6"/>
        <v>905244.27407500008</v>
      </c>
    </row>
    <row r="15" spans="1:28" x14ac:dyDescent="0.25">
      <c r="A15" s="57">
        <v>7</v>
      </c>
      <c r="B15" s="58" t="s">
        <v>152</v>
      </c>
      <c r="C15" s="58" t="s">
        <v>153</v>
      </c>
      <c r="D15" s="57">
        <v>21</v>
      </c>
      <c r="E15" s="57">
        <v>836096</v>
      </c>
      <c r="F15" s="57">
        <v>836096</v>
      </c>
      <c r="G15" s="57">
        <v>18</v>
      </c>
      <c r="H15" s="60">
        <f t="shared" si="1"/>
        <v>150497.28</v>
      </c>
      <c r="I15" s="57">
        <v>10</v>
      </c>
      <c r="J15" s="60">
        <f t="shared" si="2"/>
        <v>83609.600000000006</v>
      </c>
      <c r="K15" s="57"/>
      <c r="L15" s="57"/>
      <c r="M15" s="57"/>
      <c r="N15" s="57"/>
      <c r="O15" s="57"/>
      <c r="P15" s="57"/>
      <c r="Q15" s="57">
        <v>40000</v>
      </c>
      <c r="R15" s="57"/>
      <c r="S15" s="57"/>
      <c r="T15" s="60">
        <f t="shared" si="3"/>
        <v>1110202.8800000001</v>
      </c>
      <c r="U15" s="60">
        <f t="shared" si="4"/>
        <v>127673.33120000002</v>
      </c>
      <c r="V15" s="60">
        <f t="shared" si="5"/>
        <v>82252.954880000019</v>
      </c>
      <c r="W15" s="60">
        <v>100000</v>
      </c>
      <c r="X15" s="60">
        <v>99150</v>
      </c>
      <c r="Y15" s="60">
        <v>20000</v>
      </c>
      <c r="Z15" s="57">
        <v>10000</v>
      </c>
      <c r="AA15" s="60">
        <f t="shared" si="0"/>
        <v>439076.28608000005</v>
      </c>
      <c r="AB15" s="60">
        <f t="shared" si="6"/>
        <v>671126.59392000013</v>
      </c>
    </row>
    <row r="16" spans="1:28" x14ac:dyDescent="0.25">
      <c r="A16" s="57">
        <v>8</v>
      </c>
      <c r="B16" s="58" t="s">
        <v>154</v>
      </c>
      <c r="C16" s="58" t="s">
        <v>153</v>
      </c>
      <c r="D16" s="57">
        <v>21</v>
      </c>
      <c r="E16" s="57">
        <v>773046</v>
      </c>
      <c r="F16" s="61">
        <v>773046</v>
      </c>
      <c r="G16" s="57">
        <v>20</v>
      </c>
      <c r="H16" s="60">
        <f t="shared" si="1"/>
        <v>154609.20000000001</v>
      </c>
      <c r="I16" s="61">
        <v>10</v>
      </c>
      <c r="J16" s="60">
        <f t="shared" si="2"/>
        <v>77304.600000000006</v>
      </c>
      <c r="K16" s="57"/>
      <c r="L16" s="57"/>
      <c r="M16" s="62">
        <v>20</v>
      </c>
      <c r="N16" s="60">
        <f>SUM(F16*M16%)</f>
        <v>154609.20000000001</v>
      </c>
      <c r="O16" s="57">
        <v>20</v>
      </c>
      <c r="P16" s="60">
        <f>SUM(F16*20%)</f>
        <v>154609.20000000001</v>
      </c>
      <c r="Q16" s="57">
        <v>40000</v>
      </c>
      <c r="R16" s="57"/>
      <c r="S16" s="57"/>
      <c r="T16" s="60">
        <f t="shared" si="3"/>
        <v>1354178.2</v>
      </c>
      <c r="U16" s="60">
        <f t="shared" si="4"/>
        <v>155730.49299999999</v>
      </c>
      <c r="V16" s="60">
        <f t="shared" si="5"/>
        <v>103844.77069999999</v>
      </c>
      <c r="W16" s="60">
        <v>100000</v>
      </c>
      <c r="X16" s="60"/>
      <c r="Y16" s="60">
        <v>20000</v>
      </c>
      <c r="Z16" s="57">
        <v>10000</v>
      </c>
      <c r="AA16" s="60">
        <f t="shared" si="0"/>
        <v>389575.26370000001</v>
      </c>
      <c r="AB16" s="60">
        <f t="shared" si="6"/>
        <v>964602.93629999994</v>
      </c>
    </row>
    <row r="17" spans="1:28" x14ac:dyDescent="0.25">
      <c r="A17" s="57">
        <v>9</v>
      </c>
      <c r="B17" s="58" t="s">
        <v>155</v>
      </c>
      <c r="C17" s="58" t="s">
        <v>153</v>
      </c>
      <c r="D17" s="57">
        <v>0</v>
      </c>
      <c r="E17" s="57">
        <v>773046</v>
      </c>
      <c r="F17" s="61">
        <v>0</v>
      </c>
      <c r="G17" s="57">
        <v>18</v>
      </c>
      <c r="H17" s="60">
        <f t="shared" si="1"/>
        <v>0</v>
      </c>
      <c r="I17" s="57">
        <v>10</v>
      </c>
      <c r="J17" s="60">
        <f t="shared" si="2"/>
        <v>0</v>
      </c>
      <c r="K17" s="57"/>
      <c r="L17" s="57"/>
      <c r="M17" s="57"/>
      <c r="N17" s="57"/>
      <c r="O17" s="57"/>
      <c r="P17" s="60"/>
      <c r="Q17" s="57">
        <v>0</v>
      </c>
      <c r="R17" s="57"/>
      <c r="S17" s="57"/>
      <c r="T17" s="60">
        <f t="shared" si="3"/>
        <v>0</v>
      </c>
      <c r="U17" s="60">
        <f t="shared" si="4"/>
        <v>0</v>
      </c>
      <c r="V17" s="60"/>
      <c r="W17" s="60"/>
      <c r="X17" s="60"/>
      <c r="Y17" s="60"/>
      <c r="Z17" s="57"/>
      <c r="AA17" s="60">
        <f t="shared" si="0"/>
        <v>0</v>
      </c>
      <c r="AB17" s="60">
        <f t="shared" si="6"/>
        <v>0</v>
      </c>
    </row>
    <row r="18" spans="1:28" x14ac:dyDescent="0.25">
      <c r="A18" s="57">
        <v>10</v>
      </c>
      <c r="B18" s="58" t="s">
        <v>156</v>
      </c>
      <c r="C18" s="58" t="s">
        <v>153</v>
      </c>
      <c r="D18" s="57">
        <v>21</v>
      </c>
      <c r="E18" s="57">
        <v>731527</v>
      </c>
      <c r="F18" s="57">
        <v>731527</v>
      </c>
      <c r="G18" s="63">
        <v>18</v>
      </c>
      <c r="H18" s="60">
        <f t="shared" si="1"/>
        <v>131674.85999999999</v>
      </c>
      <c r="I18" s="57">
        <v>5</v>
      </c>
      <c r="J18" s="60">
        <f t="shared" si="2"/>
        <v>36576.35</v>
      </c>
      <c r="K18" s="57"/>
      <c r="L18" s="57"/>
      <c r="M18" s="57"/>
      <c r="N18" s="57"/>
      <c r="O18" s="57"/>
      <c r="P18" s="60"/>
      <c r="Q18" s="57">
        <v>40000</v>
      </c>
      <c r="R18" s="57"/>
      <c r="S18" s="57"/>
      <c r="T18" s="60">
        <f t="shared" si="3"/>
        <v>939778.21</v>
      </c>
      <c r="U18" s="60">
        <f t="shared" si="4"/>
        <v>108074.49415</v>
      </c>
      <c r="V18" s="60">
        <f>SUM((T18-U18)*10%-18000)</f>
        <v>65170.371585000001</v>
      </c>
      <c r="W18" s="60">
        <v>100000</v>
      </c>
      <c r="X18" s="60"/>
      <c r="Y18" s="60">
        <v>20000</v>
      </c>
      <c r="Z18" s="57">
        <v>10000</v>
      </c>
      <c r="AA18" s="60">
        <f t="shared" si="0"/>
        <v>303244.865735</v>
      </c>
      <c r="AB18" s="60">
        <f t="shared" si="6"/>
        <v>636533.34426499996</v>
      </c>
    </row>
    <row r="19" spans="1:28" x14ac:dyDescent="0.25">
      <c r="A19" s="57">
        <v>11</v>
      </c>
      <c r="B19" s="58" t="s">
        <v>157</v>
      </c>
      <c r="C19" s="58" t="s">
        <v>158</v>
      </c>
      <c r="D19" s="57">
        <v>21</v>
      </c>
      <c r="E19" s="57">
        <v>562911</v>
      </c>
      <c r="F19" s="57">
        <v>562911</v>
      </c>
      <c r="G19" s="57"/>
      <c r="H19" s="60">
        <f t="shared" si="1"/>
        <v>0</v>
      </c>
      <c r="I19" s="57"/>
      <c r="J19" s="60">
        <f t="shared" si="2"/>
        <v>0</v>
      </c>
      <c r="K19" s="57"/>
      <c r="L19" s="57"/>
      <c r="M19" s="57"/>
      <c r="N19" s="57"/>
      <c r="O19" s="57"/>
      <c r="P19" s="60"/>
      <c r="Q19" s="57">
        <v>40000</v>
      </c>
      <c r="R19" s="57"/>
      <c r="S19" s="57"/>
      <c r="T19" s="60">
        <f t="shared" si="3"/>
        <v>602911</v>
      </c>
      <c r="U19" s="60">
        <f t="shared" si="4"/>
        <v>69334.764999999999</v>
      </c>
      <c r="V19" s="60">
        <f t="shared" ref="V19:V21" si="8">SUM((T19-U19)*10%-18000)</f>
        <v>35357.623500000002</v>
      </c>
      <c r="W19" s="60">
        <v>50000</v>
      </c>
      <c r="X19" s="60"/>
      <c r="Y19" s="60">
        <v>20000</v>
      </c>
      <c r="Z19" s="57">
        <v>10000</v>
      </c>
      <c r="AA19" s="60">
        <f t="shared" si="0"/>
        <v>184692.3885</v>
      </c>
      <c r="AB19" s="60">
        <f t="shared" si="6"/>
        <v>418218.6115</v>
      </c>
    </row>
    <row r="20" spans="1:28" x14ac:dyDescent="0.25">
      <c r="A20" s="57">
        <v>12</v>
      </c>
      <c r="B20" s="58" t="s">
        <v>159</v>
      </c>
      <c r="C20" s="58" t="s">
        <v>160</v>
      </c>
      <c r="D20" s="57">
        <v>21</v>
      </c>
      <c r="E20" s="57">
        <v>625965</v>
      </c>
      <c r="F20" s="57">
        <v>625965</v>
      </c>
      <c r="G20" s="57"/>
      <c r="H20" s="60"/>
      <c r="I20" s="57"/>
      <c r="J20" s="60"/>
      <c r="K20" s="57"/>
      <c r="L20" s="57"/>
      <c r="M20" s="57"/>
      <c r="N20" s="60"/>
      <c r="O20" s="57"/>
      <c r="P20" s="60"/>
      <c r="Q20" s="57">
        <v>40000</v>
      </c>
      <c r="R20" s="57"/>
      <c r="S20" s="57"/>
      <c r="T20" s="60">
        <f t="shared" si="3"/>
        <v>665965</v>
      </c>
      <c r="U20" s="60">
        <f t="shared" si="4"/>
        <v>76585.975000000006</v>
      </c>
      <c r="V20" s="60">
        <f t="shared" si="8"/>
        <v>40937.902500000004</v>
      </c>
      <c r="W20" s="60"/>
      <c r="X20" s="60"/>
      <c r="Y20" s="60">
        <v>20000</v>
      </c>
      <c r="Z20" s="57">
        <v>10000</v>
      </c>
      <c r="AA20" s="60">
        <f t="shared" si="0"/>
        <v>147523.8775</v>
      </c>
      <c r="AB20" s="60">
        <f t="shared" ref="AB20" si="9">SUM(T20-AA20)</f>
        <v>518441.1225</v>
      </c>
    </row>
    <row r="21" spans="1:28" x14ac:dyDescent="0.25">
      <c r="A21" s="57">
        <v>13</v>
      </c>
      <c r="B21" s="58" t="s">
        <v>161</v>
      </c>
      <c r="C21" s="58" t="s">
        <v>158</v>
      </c>
      <c r="D21" s="57">
        <v>21</v>
      </c>
      <c r="E21" s="57">
        <v>690018</v>
      </c>
      <c r="F21" s="57">
        <v>690018</v>
      </c>
      <c r="G21" s="57">
        <v>0</v>
      </c>
      <c r="H21" s="60">
        <f t="shared" si="1"/>
        <v>0</v>
      </c>
      <c r="I21" s="57">
        <v>0</v>
      </c>
      <c r="J21" s="60">
        <f t="shared" si="2"/>
        <v>0</v>
      </c>
      <c r="K21" s="57"/>
      <c r="L21" s="57"/>
      <c r="M21" s="57"/>
      <c r="N21" s="57"/>
      <c r="O21" s="57"/>
      <c r="P21" s="60"/>
      <c r="Q21" s="57">
        <v>40000</v>
      </c>
      <c r="R21" s="57"/>
      <c r="S21" s="57"/>
      <c r="T21" s="60">
        <f t="shared" si="3"/>
        <v>730018</v>
      </c>
      <c r="U21" s="60">
        <f t="shared" si="4"/>
        <v>83952.07</v>
      </c>
      <c r="V21" s="60">
        <f t="shared" si="8"/>
        <v>46606.592999999993</v>
      </c>
      <c r="W21" s="60">
        <v>100000</v>
      </c>
      <c r="X21" s="60"/>
      <c r="Y21" s="60">
        <v>20000</v>
      </c>
      <c r="Z21" s="57">
        <v>10000</v>
      </c>
      <c r="AA21" s="60">
        <f t="shared" si="0"/>
        <v>260558.663</v>
      </c>
      <c r="AB21" s="60">
        <f t="shared" si="6"/>
        <v>469459.337</v>
      </c>
    </row>
    <row r="22" spans="1:28" x14ac:dyDescent="0.25">
      <c r="A22" s="57">
        <v>14</v>
      </c>
      <c r="B22" s="58" t="s">
        <v>162</v>
      </c>
      <c r="C22" s="58" t="s">
        <v>153</v>
      </c>
      <c r="D22" s="57">
        <v>21</v>
      </c>
      <c r="E22" s="57">
        <v>853375</v>
      </c>
      <c r="F22" s="57">
        <v>853375</v>
      </c>
      <c r="G22" s="57">
        <v>24</v>
      </c>
      <c r="H22" s="60">
        <f t="shared" si="1"/>
        <v>204810</v>
      </c>
      <c r="I22" s="57">
        <v>20</v>
      </c>
      <c r="J22" s="60">
        <f t="shared" si="2"/>
        <v>170675</v>
      </c>
      <c r="K22" s="57"/>
      <c r="L22" s="57"/>
      <c r="M22" s="57"/>
      <c r="N22" s="57"/>
      <c r="O22" s="57"/>
      <c r="P22" s="60"/>
      <c r="Q22" s="57">
        <v>40000</v>
      </c>
      <c r="R22" s="57"/>
      <c r="S22" s="57"/>
      <c r="T22" s="60">
        <f t="shared" si="3"/>
        <v>1268860</v>
      </c>
      <c r="U22" s="60">
        <f t="shared" si="4"/>
        <v>145918.9</v>
      </c>
      <c r="V22" s="60">
        <f>SUM((T22-U22)*10%-16000)</f>
        <v>96294.110000000015</v>
      </c>
      <c r="W22" s="60">
        <v>200000</v>
      </c>
      <c r="X22" s="60"/>
      <c r="Y22" s="60">
        <v>20000</v>
      </c>
      <c r="Z22" s="57">
        <v>10000</v>
      </c>
      <c r="AA22" s="60">
        <f t="shared" si="0"/>
        <v>472213.01</v>
      </c>
      <c r="AB22" s="60">
        <f t="shared" si="6"/>
        <v>796646.99</v>
      </c>
    </row>
    <row r="23" spans="1:28" x14ac:dyDescent="0.25">
      <c r="A23" s="57">
        <v>15</v>
      </c>
      <c r="B23" s="58" t="s">
        <v>163</v>
      </c>
      <c r="C23" s="58" t="s">
        <v>153</v>
      </c>
      <c r="D23" s="57">
        <v>21</v>
      </c>
      <c r="E23" s="57">
        <v>773046</v>
      </c>
      <c r="F23" s="61">
        <v>773046</v>
      </c>
      <c r="G23" s="57">
        <v>20</v>
      </c>
      <c r="H23" s="60">
        <f t="shared" si="1"/>
        <v>154609.20000000001</v>
      </c>
      <c r="I23" s="61">
        <v>10</v>
      </c>
      <c r="J23" s="60">
        <f t="shared" si="2"/>
        <v>77304.600000000006</v>
      </c>
      <c r="K23" s="57"/>
      <c r="L23" s="57"/>
      <c r="M23" s="57"/>
      <c r="N23" s="57"/>
      <c r="O23" s="57"/>
      <c r="P23" s="60"/>
      <c r="Q23" s="57">
        <v>40000</v>
      </c>
      <c r="R23" s="57"/>
      <c r="S23" s="57"/>
      <c r="T23" s="60">
        <f t="shared" si="3"/>
        <v>1044959.7999999999</v>
      </c>
      <c r="U23" s="60">
        <f t="shared" si="4"/>
        <v>120170.37699999999</v>
      </c>
      <c r="V23" s="60">
        <f>SUM((T23-U23)*10%-16000)</f>
        <v>76478.942299999995</v>
      </c>
      <c r="W23" s="60"/>
      <c r="X23" s="60"/>
      <c r="Y23" s="60">
        <v>20000</v>
      </c>
      <c r="Z23" s="57">
        <v>10000</v>
      </c>
      <c r="AA23" s="60">
        <f t="shared" si="0"/>
        <v>226649.31929999997</v>
      </c>
      <c r="AB23" s="60">
        <f t="shared" si="6"/>
        <v>818310.48069999996</v>
      </c>
    </row>
    <row r="24" spans="1:28" x14ac:dyDescent="0.25">
      <c r="A24" s="57">
        <v>16</v>
      </c>
      <c r="B24" s="58" t="s">
        <v>164</v>
      </c>
      <c r="C24" s="58" t="s">
        <v>151</v>
      </c>
      <c r="D24" s="57">
        <v>21</v>
      </c>
      <c r="E24" s="57">
        <v>731527</v>
      </c>
      <c r="F24" s="57">
        <v>731527</v>
      </c>
      <c r="G24" s="57">
        <v>20</v>
      </c>
      <c r="H24" s="60">
        <f t="shared" si="1"/>
        <v>146305.4</v>
      </c>
      <c r="I24" s="57">
        <v>5</v>
      </c>
      <c r="J24" s="60">
        <f t="shared" si="2"/>
        <v>36576.35</v>
      </c>
      <c r="K24" s="57"/>
      <c r="L24" s="57"/>
      <c r="M24" s="57"/>
      <c r="N24" s="57"/>
      <c r="O24" s="57">
        <v>40</v>
      </c>
      <c r="P24" s="60">
        <f>SUM(F24*40%)</f>
        <v>292610.8</v>
      </c>
      <c r="Q24" s="57">
        <v>40000</v>
      </c>
      <c r="R24" s="57"/>
      <c r="S24" s="57"/>
      <c r="T24" s="60">
        <f t="shared" si="3"/>
        <v>1247019.55</v>
      </c>
      <c r="U24" s="60">
        <f t="shared" si="4"/>
        <v>143407.24825</v>
      </c>
      <c r="V24" s="60">
        <f>SUM((T24-U24)*10%-16000)</f>
        <v>94361.230175000019</v>
      </c>
      <c r="W24" s="60"/>
      <c r="X24" s="60"/>
      <c r="Y24" s="60">
        <v>20000</v>
      </c>
      <c r="Z24" s="57">
        <v>10000</v>
      </c>
      <c r="AA24" s="60">
        <f t="shared" si="0"/>
        <v>267768.47842500004</v>
      </c>
      <c r="AB24" s="60">
        <f t="shared" si="6"/>
        <v>979251.07157499995</v>
      </c>
    </row>
    <row r="25" spans="1:28" x14ac:dyDescent="0.25">
      <c r="A25" s="57">
        <v>17</v>
      </c>
      <c r="B25" s="58" t="s">
        <v>165</v>
      </c>
      <c r="C25" s="58" t="s">
        <v>153</v>
      </c>
      <c r="D25" s="57">
        <v>21</v>
      </c>
      <c r="E25" s="57">
        <v>731527</v>
      </c>
      <c r="F25" s="57">
        <v>731527</v>
      </c>
      <c r="G25" s="57">
        <v>20</v>
      </c>
      <c r="H25" s="60">
        <f t="shared" si="1"/>
        <v>146305.4</v>
      </c>
      <c r="I25" s="57">
        <v>5</v>
      </c>
      <c r="J25" s="60">
        <f t="shared" si="2"/>
        <v>36576.35</v>
      </c>
      <c r="K25" s="57"/>
      <c r="L25" s="57"/>
      <c r="M25" s="57"/>
      <c r="N25" s="57"/>
      <c r="O25" s="57"/>
      <c r="P25" s="57"/>
      <c r="Q25" s="57">
        <v>40000</v>
      </c>
      <c r="R25" s="57"/>
      <c r="S25" s="57"/>
      <c r="T25" s="60">
        <f t="shared" si="3"/>
        <v>954408.75</v>
      </c>
      <c r="U25" s="60">
        <f t="shared" si="4"/>
        <v>109757.00625000001</v>
      </c>
      <c r="V25" s="60">
        <f>SUM((T25-U25)*10%-18000)</f>
        <v>66465.174375000002</v>
      </c>
      <c r="W25" s="60">
        <v>100000</v>
      </c>
      <c r="X25" s="60"/>
      <c r="Y25" s="60">
        <v>20000</v>
      </c>
      <c r="Z25" s="57">
        <v>10000</v>
      </c>
      <c r="AA25" s="60">
        <f t="shared" si="0"/>
        <v>306222.18062500004</v>
      </c>
      <c r="AB25" s="60">
        <f t="shared" si="6"/>
        <v>648186.56937499996</v>
      </c>
    </row>
    <row r="26" spans="1:28" x14ac:dyDescent="0.25">
      <c r="A26" s="57">
        <v>18</v>
      </c>
      <c r="B26" s="58" t="s">
        <v>166</v>
      </c>
      <c r="C26" s="58" t="s">
        <v>153</v>
      </c>
      <c r="D26" s="57">
        <v>21</v>
      </c>
      <c r="E26" s="57">
        <v>773046</v>
      </c>
      <c r="F26" s="57">
        <v>773046</v>
      </c>
      <c r="G26" s="57">
        <v>20</v>
      </c>
      <c r="H26" s="60">
        <f t="shared" si="1"/>
        <v>154609.20000000001</v>
      </c>
      <c r="I26" s="57">
        <v>5</v>
      </c>
      <c r="J26" s="60">
        <f t="shared" si="2"/>
        <v>38652.300000000003</v>
      </c>
      <c r="K26" s="57"/>
      <c r="L26" s="57"/>
      <c r="M26" s="57"/>
      <c r="N26" s="57"/>
      <c r="O26" s="57"/>
      <c r="P26" s="57"/>
      <c r="Q26" s="57">
        <v>40000</v>
      </c>
      <c r="R26" s="57"/>
      <c r="S26" s="57"/>
      <c r="T26" s="60">
        <f t="shared" si="3"/>
        <v>1006307.5</v>
      </c>
      <c r="U26" s="60">
        <f t="shared" si="4"/>
        <v>115725.3625</v>
      </c>
      <c r="V26" s="60">
        <f>SUM((T26-U26)*10%-18000)</f>
        <v>71058.213749999995</v>
      </c>
      <c r="W26" s="60">
        <v>100000</v>
      </c>
      <c r="X26" s="60"/>
      <c r="Y26" s="60">
        <v>20000</v>
      </c>
      <c r="Z26" s="57">
        <v>10000</v>
      </c>
      <c r="AA26" s="60">
        <f t="shared" si="0"/>
        <v>316783.57624999998</v>
      </c>
      <c r="AB26" s="60">
        <f t="shared" si="6"/>
        <v>689523.92375000007</v>
      </c>
    </row>
    <row r="27" spans="1:28" x14ac:dyDescent="0.25">
      <c r="A27" s="57">
        <v>19</v>
      </c>
      <c r="B27" s="58" t="s">
        <v>167</v>
      </c>
      <c r="C27" s="58" t="s">
        <v>153</v>
      </c>
      <c r="D27" s="57">
        <v>21</v>
      </c>
      <c r="E27" s="57">
        <v>773046</v>
      </c>
      <c r="F27" s="57">
        <v>773046</v>
      </c>
      <c r="G27" s="57">
        <v>20</v>
      </c>
      <c r="H27" s="60">
        <f t="shared" si="1"/>
        <v>154609.20000000001</v>
      </c>
      <c r="I27" s="57">
        <v>10</v>
      </c>
      <c r="J27" s="60">
        <f t="shared" si="2"/>
        <v>77304.600000000006</v>
      </c>
      <c r="K27" s="57"/>
      <c r="L27" s="57"/>
      <c r="M27" s="57"/>
      <c r="N27" s="57"/>
      <c r="O27" s="57"/>
      <c r="P27" s="57"/>
      <c r="Q27" s="57">
        <v>40000</v>
      </c>
      <c r="R27" s="57"/>
      <c r="S27" s="57"/>
      <c r="T27" s="60">
        <f t="shared" si="3"/>
        <v>1044959.7999999999</v>
      </c>
      <c r="U27" s="60">
        <f t="shared" si="4"/>
        <v>120170.37699999999</v>
      </c>
      <c r="V27" s="60">
        <f>SUM((T27-U27)*10%-18000)</f>
        <v>74478.942299999995</v>
      </c>
      <c r="W27" s="60"/>
      <c r="X27" s="60"/>
      <c r="Y27" s="60">
        <v>20000</v>
      </c>
      <c r="Z27" s="57">
        <v>10000</v>
      </c>
      <c r="AA27" s="60">
        <f t="shared" si="0"/>
        <v>224649.31929999997</v>
      </c>
      <c r="AB27" s="60">
        <f t="shared" si="6"/>
        <v>820310.48069999996</v>
      </c>
    </row>
    <row r="28" spans="1:28" x14ac:dyDescent="0.25">
      <c r="A28" s="57">
        <v>20</v>
      </c>
      <c r="B28" s="58" t="s">
        <v>168</v>
      </c>
      <c r="C28" s="58" t="s">
        <v>151</v>
      </c>
      <c r="D28" s="57">
        <v>21</v>
      </c>
      <c r="E28" s="57">
        <v>731527</v>
      </c>
      <c r="F28" s="57">
        <v>731527</v>
      </c>
      <c r="G28" s="63">
        <v>18</v>
      </c>
      <c r="H28" s="60">
        <f t="shared" si="1"/>
        <v>131674.85999999999</v>
      </c>
      <c r="I28" s="57">
        <v>5</v>
      </c>
      <c r="J28" s="60">
        <f t="shared" si="2"/>
        <v>36576.35</v>
      </c>
      <c r="K28" s="57"/>
      <c r="L28" s="57"/>
      <c r="M28" s="57"/>
      <c r="N28" s="57"/>
      <c r="O28" s="57"/>
      <c r="P28" s="57"/>
      <c r="Q28" s="57">
        <v>40000</v>
      </c>
      <c r="R28" s="57"/>
      <c r="S28" s="57"/>
      <c r="T28" s="60">
        <f t="shared" si="3"/>
        <v>939778.21</v>
      </c>
      <c r="U28" s="60">
        <f t="shared" si="4"/>
        <v>108074.49415</v>
      </c>
      <c r="V28" s="60">
        <f>SUM((T28-U28)*10%-18000)</f>
        <v>65170.371585000001</v>
      </c>
      <c r="W28" s="60">
        <v>100000</v>
      </c>
      <c r="X28" s="60"/>
      <c r="Y28" s="60">
        <v>20000</v>
      </c>
      <c r="Z28" s="57">
        <v>10000</v>
      </c>
      <c r="AA28" s="60">
        <f t="shared" si="0"/>
        <v>303244.865735</v>
      </c>
      <c r="AB28" s="60">
        <f t="shared" si="6"/>
        <v>636533.34426499996</v>
      </c>
    </row>
    <row r="29" spans="1:28" x14ac:dyDescent="0.25">
      <c r="A29" s="57">
        <v>21</v>
      </c>
      <c r="B29" s="58" t="s">
        <v>169</v>
      </c>
      <c r="C29" s="64" t="s">
        <v>151</v>
      </c>
      <c r="D29" s="57">
        <v>21</v>
      </c>
      <c r="E29" s="57">
        <v>813215</v>
      </c>
      <c r="F29" s="61">
        <v>813215</v>
      </c>
      <c r="G29" s="57">
        <v>0</v>
      </c>
      <c r="H29" s="60">
        <f t="shared" si="1"/>
        <v>0</v>
      </c>
      <c r="I29" s="61">
        <v>15</v>
      </c>
      <c r="J29" s="60">
        <f t="shared" si="2"/>
        <v>121982.25</v>
      </c>
      <c r="K29" s="57"/>
      <c r="L29" s="57"/>
      <c r="M29" s="57"/>
      <c r="N29" s="57"/>
      <c r="O29" s="57"/>
      <c r="P29" s="57"/>
      <c r="Q29" s="57">
        <v>40000</v>
      </c>
      <c r="R29" s="57"/>
      <c r="S29" s="57"/>
      <c r="T29" s="60">
        <f t="shared" si="3"/>
        <v>975197.25</v>
      </c>
      <c r="U29" s="60">
        <f t="shared" si="4"/>
        <v>112147.68375000001</v>
      </c>
      <c r="V29" s="60">
        <f t="shared" ref="V29:V33" si="10">SUM((T29-U29)*10%-18000)</f>
        <v>68304.956625000006</v>
      </c>
      <c r="W29" s="60">
        <v>100000</v>
      </c>
      <c r="X29" s="60"/>
      <c r="Y29" s="60">
        <v>20000</v>
      </c>
      <c r="Z29" s="57">
        <v>10000</v>
      </c>
      <c r="AA29" s="60">
        <f t="shared" si="0"/>
        <v>310452.64037500002</v>
      </c>
      <c r="AB29" s="60">
        <f t="shared" si="6"/>
        <v>664744.60962500004</v>
      </c>
    </row>
    <row r="30" spans="1:28" x14ac:dyDescent="0.25">
      <c r="A30" s="57">
        <v>22</v>
      </c>
      <c r="B30" s="58" t="s">
        <v>170</v>
      </c>
      <c r="C30" s="58" t="s">
        <v>158</v>
      </c>
      <c r="D30" s="57">
        <v>21</v>
      </c>
      <c r="E30" s="57">
        <v>690018</v>
      </c>
      <c r="F30" s="62">
        <v>690018</v>
      </c>
      <c r="G30" s="57">
        <v>0</v>
      </c>
      <c r="H30" s="60">
        <f t="shared" ref="H30" si="11">SUM(F30*G30%)</f>
        <v>0</v>
      </c>
      <c r="I30" s="57">
        <v>0</v>
      </c>
      <c r="J30" s="60">
        <f t="shared" ref="J30" si="12">SUM(F30*I30%)</f>
        <v>0</v>
      </c>
      <c r="K30" s="57"/>
      <c r="L30" s="57"/>
      <c r="M30" s="57"/>
      <c r="N30" s="57"/>
      <c r="O30" s="57"/>
      <c r="P30" s="57"/>
      <c r="Q30" s="57">
        <v>40000</v>
      </c>
      <c r="R30" s="57"/>
      <c r="S30" s="57"/>
      <c r="T30" s="60">
        <f t="shared" si="3"/>
        <v>730018</v>
      </c>
      <c r="U30" s="60">
        <f t="shared" si="4"/>
        <v>83952.07</v>
      </c>
      <c r="V30" s="60">
        <f t="shared" si="10"/>
        <v>46606.592999999993</v>
      </c>
      <c r="W30" s="60">
        <v>100000</v>
      </c>
      <c r="X30" s="60"/>
      <c r="Y30" s="60">
        <v>20000</v>
      </c>
      <c r="Z30" s="57">
        <v>10000</v>
      </c>
      <c r="AA30" s="60">
        <f t="shared" si="0"/>
        <v>260558.663</v>
      </c>
      <c r="AB30" s="60">
        <f t="shared" si="6"/>
        <v>469459.337</v>
      </c>
    </row>
    <row r="31" spans="1:28" x14ac:dyDescent="0.25">
      <c r="A31" s="57">
        <v>23</v>
      </c>
      <c r="B31" s="58" t="s">
        <v>171</v>
      </c>
      <c r="C31" s="58" t="s">
        <v>151</v>
      </c>
      <c r="D31" s="57">
        <v>21</v>
      </c>
      <c r="E31" s="57">
        <v>731527</v>
      </c>
      <c r="F31" s="61">
        <v>731527</v>
      </c>
      <c r="G31" s="63">
        <v>18</v>
      </c>
      <c r="H31" s="60">
        <f t="shared" si="1"/>
        <v>131674.85999999999</v>
      </c>
      <c r="I31" s="61">
        <v>5</v>
      </c>
      <c r="J31" s="60">
        <f t="shared" si="2"/>
        <v>36576.35</v>
      </c>
      <c r="K31" s="57"/>
      <c r="L31" s="57"/>
      <c r="M31" s="57"/>
      <c r="N31" s="57"/>
      <c r="O31" s="57"/>
      <c r="P31" s="57"/>
      <c r="Q31" s="57">
        <v>40000</v>
      </c>
      <c r="R31" s="57"/>
      <c r="S31" s="57"/>
      <c r="T31" s="60">
        <f t="shared" si="3"/>
        <v>939778.21</v>
      </c>
      <c r="U31" s="60">
        <f t="shared" si="4"/>
        <v>108074.49415</v>
      </c>
      <c r="V31" s="60">
        <f t="shared" si="10"/>
        <v>65170.371585000001</v>
      </c>
      <c r="W31" s="60">
        <v>100000</v>
      </c>
      <c r="X31" s="60"/>
      <c r="Y31" s="60">
        <v>20000</v>
      </c>
      <c r="Z31" s="57">
        <v>10000</v>
      </c>
      <c r="AA31" s="60">
        <f t="shared" si="0"/>
        <v>303244.865735</v>
      </c>
      <c r="AB31" s="60">
        <f t="shared" si="6"/>
        <v>636533.34426499996</v>
      </c>
    </row>
    <row r="32" spans="1:28" x14ac:dyDescent="0.25">
      <c r="A32" s="57">
        <v>24</v>
      </c>
      <c r="B32" s="58" t="s">
        <v>172</v>
      </c>
      <c r="C32" s="58" t="s">
        <v>173</v>
      </c>
      <c r="D32" s="57">
        <v>21</v>
      </c>
      <c r="E32" s="57">
        <v>499852</v>
      </c>
      <c r="F32" s="57">
        <v>499852</v>
      </c>
      <c r="G32" s="57"/>
      <c r="H32" s="60"/>
      <c r="I32" s="57">
        <v>10</v>
      </c>
      <c r="J32" s="60">
        <f t="shared" si="2"/>
        <v>49985.200000000004</v>
      </c>
      <c r="K32" s="62">
        <v>25</v>
      </c>
      <c r="L32" s="60">
        <f>F32*K32%</f>
        <v>124963</v>
      </c>
      <c r="M32" s="57"/>
      <c r="N32" s="57"/>
      <c r="O32" s="57"/>
      <c r="P32" s="60"/>
      <c r="Q32" s="57">
        <v>40000</v>
      </c>
      <c r="R32" s="57"/>
      <c r="S32" s="57"/>
      <c r="T32" s="60">
        <f t="shared" si="3"/>
        <v>714800.2</v>
      </c>
      <c r="U32" s="60">
        <f t="shared" si="4"/>
        <v>82202.023000000001</v>
      </c>
      <c r="V32" s="60">
        <f t="shared" si="10"/>
        <v>45259.817699999992</v>
      </c>
      <c r="W32" s="60">
        <v>50000</v>
      </c>
      <c r="X32" s="60"/>
      <c r="Y32" s="60">
        <v>20000</v>
      </c>
      <c r="Z32" s="57">
        <v>10000</v>
      </c>
      <c r="AA32" s="60">
        <f t="shared" si="0"/>
        <v>207461.8407</v>
      </c>
      <c r="AB32" s="60">
        <f t="shared" si="6"/>
        <v>507338.35929999995</v>
      </c>
    </row>
    <row r="33" spans="1:28" x14ac:dyDescent="0.25">
      <c r="A33" s="57">
        <v>25</v>
      </c>
      <c r="B33" s="58" t="s">
        <v>174</v>
      </c>
      <c r="C33" s="58" t="s">
        <v>175</v>
      </c>
      <c r="D33" s="57">
        <v>21</v>
      </c>
      <c r="E33" s="57">
        <v>519502</v>
      </c>
      <c r="F33" s="57">
        <v>519502</v>
      </c>
      <c r="G33" s="57">
        <v>0</v>
      </c>
      <c r="H33" s="60">
        <f t="shared" si="1"/>
        <v>0</v>
      </c>
      <c r="I33" s="57">
        <v>5</v>
      </c>
      <c r="J33" s="60">
        <f t="shared" si="2"/>
        <v>25975.100000000002</v>
      </c>
      <c r="K33" s="62">
        <v>25</v>
      </c>
      <c r="L33" s="60">
        <f>SUM(F33*K33%)</f>
        <v>129875.5</v>
      </c>
      <c r="M33" s="57"/>
      <c r="N33" s="57"/>
      <c r="O33" s="57"/>
      <c r="P33" s="57"/>
      <c r="Q33" s="57">
        <v>40000</v>
      </c>
      <c r="R33" s="57"/>
      <c r="S33" s="57"/>
      <c r="T33" s="60">
        <f t="shared" si="3"/>
        <v>715352.6</v>
      </c>
      <c r="U33" s="60">
        <f t="shared" si="4"/>
        <v>82265.548999999999</v>
      </c>
      <c r="V33" s="60">
        <f t="shared" si="10"/>
        <v>45308.705099999999</v>
      </c>
      <c r="W33" s="60"/>
      <c r="X33" s="60"/>
      <c r="Y33" s="60">
        <v>20000</v>
      </c>
      <c r="Z33" s="57">
        <v>10000</v>
      </c>
      <c r="AA33" s="60">
        <f t="shared" si="0"/>
        <v>157574.25409999999</v>
      </c>
      <c r="AB33" s="60">
        <f t="shared" si="6"/>
        <v>557778.34589999996</v>
      </c>
    </row>
    <row r="34" spans="1:28" x14ac:dyDescent="0.25">
      <c r="A34" s="57">
        <v>26</v>
      </c>
      <c r="B34" s="58" t="s">
        <v>176</v>
      </c>
      <c r="C34" s="58" t="s">
        <v>151</v>
      </c>
      <c r="D34" s="57">
        <v>21</v>
      </c>
      <c r="E34" s="57">
        <v>773046</v>
      </c>
      <c r="F34" s="57">
        <v>773046</v>
      </c>
      <c r="G34" s="57">
        <v>20</v>
      </c>
      <c r="H34" s="60">
        <f t="shared" si="1"/>
        <v>154609.20000000001</v>
      </c>
      <c r="I34" s="57">
        <v>10</v>
      </c>
      <c r="J34" s="60">
        <f t="shared" si="2"/>
        <v>77304.600000000006</v>
      </c>
      <c r="K34" s="57"/>
      <c r="L34" s="57"/>
      <c r="M34" s="57"/>
      <c r="N34" s="57"/>
      <c r="O34" s="57"/>
      <c r="P34" s="57"/>
      <c r="Q34" s="57">
        <v>40000</v>
      </c>
      <c r="R34" s="57"/>
      <c r="S34" s="57"/>
      <c r="T34" s="60">
        <f t="shared" si="3"/>
        <v>1044959.7999999999</v>
      </c>
      <c r="U34" s="60">
        <f t="shared" si="4"/>
        <v>120170.37699999999</v>
      </c>
      <c r="V34" s="60">
        <f>SUM((T34-U34)*10%-18000)</f>
        <v>74478.942299999995</v>
      </c>
      <c r="W34" s="60"/>
      <c r="X34" s="60"/>
      <c r="Y34" s="60">
        <v>20000</v>
      </c>
      <c r="Z34" s="57">
        <v>10000</v>
      </c>
      <c r="AA34" s="60">
        <f t="shared" si="0"/>
        <v>224649.31929999997</v>
      </c>
      <c r="AB34" s="60">
        <f t="shared" si="6"/>
        <v>820310.48069999996</v>
      </c>
    </row>
    <row r="35" spans="1:28" x14ac:dyDescent="0.25">
      <c r="A35" s="57">
        <v>27</v>
      </c>
      <c r="B35" s="58" t="s">
        <v>177</v>
      </c>
      <c r="C35" s="58" t="s">
        <v>151</v>
      </c>
      <c r="D35" s="57">
        <v>0</v>
      </c>
      <c r="E35" s="57">
        <v>731527</v>
      </c>
      <c r="F35" s="57">
        <v>0</v>
      </c>
      <c r="G35" s="57">
        <v>20</v>
      </c>
      <c r="H35" s="60">
        <f t="shared" si="1"/>
        <v>0</v>
      </c>
      <c r="I35" s="57">
        <v>5</v>
      </c>
      <c r="J35" s="60">
        <f t="shared" si="2"/>
        <v>0</v>
      </c>
      <c r="K35" s="57"/>
      <c r="L35" s="57"/>
      <c r="M35" s="57"/>
      <c r="N35" s="57"/>
      <c r="O35" s="57"/>
      <c r="P35" s="57"/>
      <c r="Q35" s="57">
        <v>0</v>
      </c>
      <c r="R35" s="57"/>
      <c r="S35" s="57"/>
      <c r="T35" s="60">
        <f t="shared" si="3"/>
        <v>0</v>
      </c>
      <c r="U35" s="60">
        <f t="shared" si="4"/>
        <v>0</v>
      </c>
      <c r="V35" s="60">
        <v>0</v>
      </c>
      <c r="W35" s="60"/>
      <c r="X35" s="60"/>
      <c r="Y35" s="60"/>
      <c r="Z35" s="57"/>
      <c r="AA35" s="60">
        <f t="shared" si="0"/>
        <v>0</v>
      </c>
      <c r="AB35" s="60">
        <f t="shared" si="6"/>
        <v>0</v>
      </c>
    </row>
    <row r="36" spans="1:28" x14ac:dyDescent="0.25">
      <c r="A36" s="57">
        <v>28</v>
      </c>
      <c r="B36" s="58" t="s">
        <v>178</v>
      </c>
      <c r="C36" s="58" t="s">
        <v>142</v>
      </c>
      <c r="D36" s="57">
        <v>21</v>
      </c>
      <c r="E36" s="57">
        <v>924456</v>
      </c>
      <c r="F36" s="57">
        <v>924456</v>
      </c>
      <c r="G36" s="57">
        <v>20</v>
      </c>
      <c r="H36" s="60">
        <f t="shared" si="1"/>
        <v>184891.2</v>
      </c>
      <c r="I36" s="57">
        <v>20</v>
      </c>
      <c r="J36" s="60">
        <f t="shared" si="2"/>
        <v>184891.2</v>
      </c>
      <c r="K36" s="57"/>
      <c r="L36" s="57"/>
      <c r="M36" s="57"/>
      <c r="N36" s="57"/>
      <c r="O36" s="57"/>
      <c r="P36" s="57"/>
      <c r="Q36" s="57">
        <v>40000</v>
      </c>
      <c r="R36" s="57"/>
      <c r="S36" s="57"/>
      <c r="T36" s="60">
        <f t="shared" si="3"/>
        <v>1334238.3999999999</v>
      </c>
      <c r="U36" s="60">
        <f>SUM(T36*9.3%)</f>
        <v>124084.17120000001</v>
      </c>
      <c r="V36" s="60">
        <f>SUM((T36-U36)*10%-16000)</f>
        <v>105015.42288</v>
      </c>
      <c r="W36" s="60">
        <v>100000</v>
      </c>
      <c r="X36" s="60"/>
      <c r="Y36" s="60">
        <v>20000</v>
      </c>
      <c r="Z36" s="57">
        <v>10000</v>
      </c>
      <c r="AA36" s="60">
        <f t="shared" si="0"/>
        <v>359099.59408000001</v>
      </c>
      <c r="AB36" s="60">
        <f t="shared" si="6"/>
        <v>975138.80591999996</v>
      </c>
    </row>
    <row r="37" spans="1:28" x14ac:dyDescent="0.25">
      <c r="A37" s="57">
        <v>29</v>
      </c>
      <c r="B37" s="58" t="s">
        <v>179</v>
      </c>
      <c r="C37" s="58" t="s">
        <v>160</v>
      </c>
      <c r="D37" s="57">
        <v>21</v>
      </c>
      <c r="E37" s="57">
        <v>625965</v>
      </c>
      <c r="F37" s="57">
        <v>625965</v>
      </c>
      <c r="G37" s="57"/>
      <c r="H37" s="60">
        <v>0</v>
      </c>
      <c r="I37" s="57"/>
      <c r="J37" s="60">
        <v>0</v>
      </c>
      <c r="K37" s="57"/>
      <c r="L37" s="57">
        <v>0</v>
      </c>
      <c r="M37" s="57"/>
      <c r="N37" s="57"/>
      <c r="O37" s="57"/>
      <c r="P37" s="57"/>
      <c r="Q37" s="57">
        <v>40000</v>
      </c>
      <c r="R37" s="57"/>
      <c r="S37" s="57"/>
      <c r="T37" s="60">
        <f t="shared" si="3"/>
        <v>665965</v>
      </c>
      <c r="U37" s="60">
        <f t="shared" si="4"/>
        <v>76585.975000000006</v>
      </c>
      <c r="V37" s="60">
        <f>SUM((T37-U37)*10%-18000)</f>
        <v>40937.902500000004</v>
      </c>
      <c r="W37" s="60">
        <v>100000</v>
      </c>
      <c r="X37" s="60"/>
      <c r="Y37" s="60">
        <v>20000</v>
      </c>
      <c r="Z37" s="57">
        <v>10000</v>
      </c>
      <c r="AA37" s="60">
        <f t="shared" si="0"/>
        <v>247523.8775</v>
      </c>
      <c r="AB37" s="60">
        <f t="shared" si="6"/>
        <v>418441.1225</v>
      </c>
    </row>
    <row r="38" spans="1:28" x14ac:dyDescent="0.25">
      <c r="A38" s="57">
        <v>30</v>
      </c>
      <c r="B38" s="58" t="s">
        <v>180</v>
      </c>
      <c r="C38" s="58" t="s">
        <v>160</v>
      </c>
      <c r="D38" s="57">
        <v>21</v>
      </c>
      <c r="E38" s="57">
        <v>625965</v>
      </c>
      <c r="F38" s="57">
        <v>625965</v>
      </c>
      <c r="G38" s="57"/>
      <c r="H38" s="60"/>
      <c r="I38" s="57"/>
      <c r="J38" s="60"/>
      <c r="K38" s="57"/>
      <c r="L38" s="57"/>
      <c r="M38" s="57"/>
      <c r="N38" s="57"/>
      <c r="O38" s="57"/>
      <c r="P38" s="57"/>
      <c r="Q38" s="57">
        <v>40000</v>
      </c>
      <c r="R38" s="57"/>
      <c r="S38" s="57"/>
      <c r="T38" s="60">
        <f t="shared" si="3"/>
        <v>665965</v>
      </c>
      <c r="U38" s="60">
        <f t="shared" si="4"/>
        <v>76585.975000000006</v>
      </c>
      <c r="V38" s="60">
        <f>SUM((T38-U38)*10%-18000)</f>
        <v>40937.902500000004</v>
      </c>
      <c r="W38" s="60"/>
      <c r="X38" s="60"/>
      <c r="Y38" s="60">
        <v>20000</v>
      </c>
      <c r="Z38" s="57">
        <v>10000</v>
      </c>
      <c r="AA38" s="60">
        <f t="shared" si="0"/>
        <v>147523.8775</v>
      </c>
      <c r="AB38" s="60">
        <f t="shared" si="6"/>
        <v>518441.1225</v>
      </c>
    </row>
    <row r="39" spans="1:28" x14ac:dyDescent="0.25">
      <c r="A39" s="65"/>
      <c r="B39" s="90" t="s">
        <v>140</v>
      </c>
      <c r="C39" s="90"/>
      <c r="D39" s="66"/>
      <c r="E39" s="67">
        <f>SUM(E9:E38)</f>
        <v>22552708</v>
      </c>
      <c r="F39" s="67">
        <f>SUM(F9:F38)</f>
        <v>21048135</v>
      </c>
      <c r="G39" s="67">
        <v>0</v>
      </c>
      <c r="H39" s="67">
        <f>SUM(H9:H38)</f>
        <v>3201516.7600000007</v>
      </c>
      <c r="I39" s="67"/>
      <c r="J39" s="67">
        <f>SUM(J9:J38)</f>
        <v>2097194.9000000008</v>
      </c>
      <c r="K39" s="67">
        <f>SUM(K9:K37)</f>
        <v>50</v>
      </c>
      <c r="L39" s="67">
        <f>SUM(L9:L38)</f>
        <v>254838.5</v>
      </c>
      <c r="M39" s="67">
        <v>0</v>
      </c>
      <c r="N39" s="67">
        <f>SUM(N9:N38)</f>
        <v>154609.20000000001</v>
      </c>
      <c r="O39" s="67"/>
      <c r="P39" s="67">
        <f>SUM(P9:P38)</f>
        <v>617895</v>
      </c>
      <c r="Q39" s="67">
        <f>SUM(Q9:Q38)</f>
        <v>1120000</v>
      </c>
      <c r="R39" s="67">
        <f>SUM(R9:R38)</f>
        <v>0</v>
      </c>
      <c r="S39" s="67">
        <f>SUM(S9:S38)</f>
        <v>0</v>
      </c>
      <c r="T39" s="67">
        <f>SUM(T9:T38)</f>
        <v>28494189.360000003</v>
      </c>
      <c r="U39" s="67">
        <f t="shared" ref="U39:AA39" si="13">SUM(U9:U38)</f>
        <v>3247478.5316000003</v>
      </c>
      <c r="V39" s="67">
        <f t="shared" si="13"/>
        <v>2044671.0828399998</v>
      </c>
      <c r="W39" s="67">
        <f t="shared" si="13"/>
        <v>2500000</v>
      </c>
      <c r="X39" s="67">
        <f t="shared" si="13"/>
        <v>99150</v>
      </c>
      <c r="Y39" s="67">
        <f t="shared" si="13"/>
        <v>560000</v>
      </c>
      <c r="Z39" s="67">
        <f t="shared" si="13"/>
        <v>280000</v>
      </c>
      <c r="AA39" s="67">
        <f t="shared" si="13"/>
        <v>8731299.6144399978</v>
      </c>
      <c r="AB39" s="67">
        <f>SUM(AB9:AB38)</f>
        <v>19762889.745560002</v>
      </c>
    </row>
    <row r="40" spans="1:28" x14ac:dyDescent="0.25">
      <c r="W40" s="68"/>
    </row>
    <row r="41" spans="1:28" ht="18" x14ac:dyDescent="0.25">
      <c r="A41" s="91" t="s">
        <v>181</v>
      </c>
      <c r="B41" s="91"/>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row>
    <row r="46" spans="1:28" x14ac:dyDescent="0.25">
      <c r="Q46" s="68"/>
    </row>
  </sheetData>
  <mergeCells count="31">
    <mergeCell ref="Y7:Y8"/>
    <mergeCell ref="Z7:Z8"/>
    <mergeCell ref="B39:C39"/>
    <mergeCell ref="A41:AB41"/>
    <mergeCell ref="Q7:Q8"/>
    <mergeCell ref="R7:R8"/>
    <mergeCell ref="S7:S8"/>
    <mergeCell ref="U7:U8"/>
    <mergeCell ref="V7:V8"/>
    <mergeCell ref="W7:W8"/>
    <mergeCell ref="I7:J7"/>
    <mergeCell ref="K7:L7"/>
    <mergeCell ref="M7:N7"/>
    <mergeCell ref="O7:P7"/>
    <mergeCell ref="X7:X8"/>
    <mergeCell ref="A1:AB1"/>
    <mergeCell ref="A2:I2"/>
    <mergeCell ref="A4:G4"/>
    <mergeCell ref="AA4:AB4"/>
    <mergeCell ref="A6:A8"/>
    <mergeCell ref="B6:B8"/>
    <mergeCell ref="C6:C8"/>
    <mergeCell ref="D6:D8"/>
    <mergeCell ref="E6:E8"/>
    <mergeCell ref="F6:F8"/>
    <mergeCell ref="G6:S6"/>
    <mergeCell ref="T6:T8"/>
    <mergeCell ref="U6:Z6"/>
    <mergeCell ref="AA6:AA8"/>
    <mergeCell ref="AB6:AB8"/>
    <mergeCell ref="G7:H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8D872-6184-4D96-BEAA-BCBE298D4C83}">
  <dimension ref="A1:F87"/>
  <sheetViews>
    <sheetView workbookViewId="0">
      <selection activeCell="F4" sqref="F4"/>
    </sheetView>
  </sheetViews>
  <sheetFormatPr defaultRowHeight="14.25" x14ac:dyDescent="0.25"/>
  <cols>
    <col min="1" max="1" width="18.28515625" style="49" customWidth="1"/>
    <col min="2" max="2" width="14.28515625" style="49" customWidth="1"/>
    <col min="3" max="3" width="15.42578125" style="49" customWidth="1"/>
    <col min="4" max="4" width="15.28515625" style="49" customWidth="1"/>
    <col min="5" max="5" width="20.7109375" style="50" customWidth="1"/>
    <col min="6" max="6" width="40.7109375" style="49" customWidth="1"/>
    <col min="7" max="16384" width="9.140625" style="49"/>
  </cols>
  <sheetData>
    <row r="1" spans="1:6" ht="46.5" customHeight="1" x14ac:dyDescent="0.25">
      <c r="D1" s="94" t="s">
        <v>91</v>
      </c>
      <c r="E1" s="94"/>
    </row>
    <row r="3" spans="1:6" ht="21" customHeight="1" x14ac:dyDescent="0.25">
      <c r="A3" s="94" t="s">
        <v>92</v>
      </c>
      <c r="B3" s="94"/>
      <c r="C3" s="94"/>
      <c r="D3" s="94"/>
      <c r="E3" s="94"/>
      <c r="F3" s="94"/>
    </row>
    <row r="4" spans="1:6" ht="23.25" customHeight="1" x14ac:dyDescent="0.25">
      <c r="E4" s="50" t="s">
        <v>93</v>
      </c>
    </row>
    <row r="5" spans="1:6" ht="57" x14ac:dyDescent="0.25">
      <c r="A5" s="51" t="s">
        <v>94</v>
      </c>
      <c r="B5" s="51" t="s">
        <v>95</v>
      </c>
      <c r="C5" s="51" t="s">
        <v>96</v>
      </c>
      <c r="D5" s="51" t="s">
        <v>97</v>
      </c>
      <c r="E5" s="52" t="s">
        <v>98</v>
      </c>
      <c r="F5" s="51" t="s">
        <v>99</v>
      </c>
    </row>
    <row r="6" spans="1:6" ht="42.75" x14ac:dyDescent="0.25">
      <c r="A6" s="53" t="s">
        <v>100</v>
      </c>
      <c r="B6" s="51">
        <v>80101</v>
      </c>
      <c r="C6" s="51">
        <v>70205</v>
      </c>
      <c r="D6" s="51">
        <v>210401</v>
      </c>
      <c r="E6" s="52">
        <v>-204200</v>
      </c>
      <c r="F6" s="51" t="s">
        <v>101</v>
      </c>
    </row>
    <row r="7" spans="1:6" x14ac:dyDescent="0.25">
      <c r="A7" s="53" t="s">
        <v>100</v>
      </c>
      <c r="B7" s="51">
        <v>80101</v>
      </c>
      <c r="C7" s="51">
        <v>70205</v>
      </c>
      <c r="D7" s="51">
        <v>210402</v>
      </c>
      <c r="E7" s="52"/>
      <c r="F7" s="51"/>
    </row>
    <row r="8" spans="1:6" ht="42.75" x14ac:dyDescent="0.25">
      <c r="A8" s="53" t="s">
        <v>100</v>
      </c>
      <c r="B8" s="51">
        <v>80101</v>
      </c>
      <c r="C8" s="51">
        <v>70205</v>
      </c>
      <c r="D8" s="51">
        <v>210301</v>
      </c>
      <c r="E8" s="52">
        <v>-143877</v>
      </c>
      <c r="F8" s="51" t="s">
        <v>102</v>
      </c>
    </row>
    <row r="9" spans="1:6" x14ac:dyDescent="0.25">
      <c r="A9" s="53" t="s">
        <v>100</v>
      </c>
      <c r="B9" s="51">
        <v>80101</v>
      </c>
      <c r="C9" s="51">
        <v>70205</v>
      </c>
      <c r="D9" s="51">
        <v>210303</v>
      </c>
      <c r="E9" s="52"/>
      <c r="F9" s="51"/>
    </row>
    <row r="10" spans="1:6" x14ac:dyDescent="0.25">
      <c r="A10" s="53" t="s">
        <v>100</v>
      </c>
      <c r="B10" s="51">
        <v>80101</v>
      </c>
      <c r="C10" s="51">
        <v>70205</v>
      </c>
      <c r="D10" s="51">
        <v>210604</v>
      </c>
      <c r="E10" s="52">
        <v>-4800000</v>
      </c>
      <c r="F10" s="51" t="s">
        <v>103</v>
      </c>
    </row>
    <row r="11" spans="1:6" ht="28.5" x14ac:dyDescent="0.25">
      <c r="A11" s="53" t="s">
        <v>100</v>
      </c>
      <c r="B11" s="51">
        <v>80101</v>
      </c>
      <c r="C11" s="51">
        <v>70205</v>
      </c>
      <c r="D11" s="51">
        <v>210802</v>
      </c>
      <c r="E11" s="52">
        <v>-108000</v>
      </c>
      <c r="F11" s="51" t="s">
        <v>104</v>
      </c>
    </row>
    <row r="12" spans="1:6" ht="42.75" x14ac:dyDescent="0.25">
      <c r="A12" s="53" t="s">
        <v>100</v>
      </c>
      <c r="B12" s="51">
        <v>80101</v>
      </c>
      <c r="C12" s="51">
        <v>70205</v>
      </c>
      <c r="D12" s="51">
        <v>210807</v>
      </c>
      <c r="E12" s="52">
        <v>-23836</v>
      </c>
      <c r="F12" s="51" t="s">
        <v>105</v>
      </c>
    </row>
    <row r="13" spans="1:6" x14ac:dyDescent="0.25">
      <c r="A13" s="53"/>
      <c r="B13" s="51"/>
      <c r="C13" s="51"/>
      <c r="D13" s="51"/>
      <c r="E13" s="52">
        <f>SUM(E6:E12)</f>
        <v>-5279913</v>
      </c>
      <c r="F13" s="51"/>
    </row>
    <row r="14" spans="1:6" ht="34.5" customHeight="1" x14ac:dyDescent="0.25">
      <c r="A14" s="95" t="s">
        <v>106</v>
      </c>
      <c r="B14" s="95"/>
      <c r="C14" s="95"/>
      <c r="D14" s="95"/>
      <c r="E14" s="95"/>
      <c r="F14" s="95"/>
    </row>
    <row r="15" spans="1:6" ht="34.5" customHeight="1" x14ac:dyDescent="0.25">
      <c r="E15" s="49"/>
    </row>
    <row r="16" spans="1:6" x14ac:dyDescent="0.25">
      <c r="A16" s="94" t="s">
        <v>107</v>
      </c>
      <c r="B16" s="94"/>
    </row>
    <row r="18" spans="1:6" ht="14.25" customHeight="1" x14ac:dyDescent="0.25">
      <c r="A18" s="94" t="s">
        <v>108</v>
      </c>
      <c r="B18" s="94"/>
      <c r="C18" s="94"/>
      <c r="D18" s="94"/>
      <c r="E18" s="94"/>
      <c r="F18" s="94"/>
    </row>
    <row r="32" spans="1:6" x14ac:dyDescent="0.25">
      <c r="E32" s="49"/>
    </row>
    <row r="34" spans="5:5" x14ac:dyDescent="0.25">
      <c r="E34" s="49"/>
    </row>
    <row r="35" spans="5:5" x14ac:dyDescent="0.25">
      <c r="E35" s="49"/>
    </row>
    <row r="36" spans="5:5" x14ac:dyDescent="0.25">
      <c r="E36" s="49"/>
    </row>
    <row r="37" spans="5:5" x14ac:dyDescent="0.25">
      <c r="E37" s="49"/>
    </row>
    <row r="38" spans="5:5" x14ac:dyDescent="0.25">
      <c r="E38" s="49"/>
    </row>
    <row r="39" spans="5:5" x14ac:dyDescent="0.25">
      <c r="E39" s="49"/>
    </row>
    <row r="40" spans="5:5" x14ac:dyDescent="0.25">
      <c r="E40" s="49"/>
    </row>
    <row r="41" spans="5:5" x14ac:dyDescent="0.25">
      <c r="E41" s="49"/>
    </row>
    <row r="42" spans="5:5" x14ac:dyDescent="0.25">
      <c r="E42" s="49"/>
    </row>
    <row r="43" spans="5:5" x14ac:dyDescent="0.25">
      <c r="E43" s="49"/>
    </row>
    <row r="44" spans="5:5" x14ac:dyDescent="0.25">
      <c r="E44" s="49"/>
    </row>
    <row r="45" spans="5:5" x14ac:dyDescent="0.25">
      <c r="E45" s="49"/>
    </row>
    <row r="46" spans="5:5" x14ac:dyDescent="0.25">
      <c r="E46" s="49"/>
    </row>
    <row r="47" spans="5:5" x14ac:dyDescent="0.25">
      <c r="E47" s="49"/>
    </row>
    <row r="48" spans="5:5" x14ac:dyDescent="0.25">
      <c r="E48" s="49"/>
    </row>
    <row r="49" spans="5:5" x14ac:dyDescent="0.25">
      <c r="E49" s="49"/>
    </row>
    <row r="50" spans="5:5" x14ac:dyDescent="0.25">
      <c r="E50" s="49"/>
    </row>
    <row r="51" spans="5:5" x14ac:dyDescent="0.25">
      <c r="E51" s="49"/>
    </row>
    <row r="52" spans="5:5" x14ac:dyDescent="0.25">
      <c r="E52" s="49"/>
    </row>
    <row r="53" spans="5:5" x14ac:dyDescent="0.25">
      <c r="E53" s="49"/>
    </row>
    <row r="54" spans="5:5" x14ac:dyDescent="0.25">
      <c r="E54" s="49"/>
    </row>
    <row r="55" spans="5:5" x14ac:dyDescent="0.25">
      <c r="E55" s="49"/>
    </row>
    <row r="56" spans="5:5" x14ac:dyDescent="0.25">
      <c r="E56" s="49"/>
    </row>
    <row r="57" spans="5:5" x14ac:dyDescent="0.25">
      <c r="E57" s="49"/>
    </row>
    <row r="58" spans="5:5" x14ac:dyDescent="0.25">
      <c r="E58" s="49"/>
    </row>
    <row r="59" spans="5:5" x14ac:dyDescent="0.25">
      <c r="E59" s="49"/>
    </row>
    <row r="60" spans="5:5" x14ac:dyDescent="0.25">
      <c r="E60" s="49"/>
    </row>
    <row r="61" spans="5:5" x14ac:dyDescent="0.25">
      <c r="E61" s="49"/>
    </row>
    <row r="62" spans="5:5" x14ac:dyDescent="0.25">
      <c r="E62" s="49"/>
    </row>
    <row r="63" spans="5:5" x14ac:dyDescent="0.25">
      <c r="E63" s="49"/>
    </row>
    <row r="64" spans="5:5" x14ac:dyDescent="0.25">
      <c r="E64" s="49"/>
    </row>
    <row r="65" spans="5:5" x14ac:dyDescent="0.25">
      <c r="E65" s="49"/>
    </row>
    <row r="66" spans="5:5" x14ac:dyDescent="0.25">
      <c r="E66" s="49"/>
    </row>
    <row r="67" spans="5:5" x14ac:dyDescent="0.25">
      <c r="E67" s="49"/>
    </row>
    <row r="68" spans="5:5" x14ac:dyDescent="0.25">
      <c r="E68" s="49"/>
    </row>
    <row r="69" spans="5:5" x14ac:dyDescent="0.25">
      <c r="E69" s="49"/>
    </row>
    <row r="70" spans="5:5" x14ac:dyDescent="0.25">
      <c r="E70" s="49"/>
    </row>
    <row r="71" spans="5:5" x14ac:dyDescent="0.25">
      <c r="E71" s="49"/>
    </row>
    <row r="72" spans="5:5" x14ac:dyDescent="0.25">
      <c r="E72" s="49"/>
    </row>
    <row r="73" spans="5:5" x14ac:dyDescent="0.25">
      <c r="E73" s="49"/>
    </row>
    <row r="74" spans="5:5" x14ac:dyDescent="0.25">
      <c r="E74" s="49"/>
    </row>
    <row r="75" spans="5:5" x14ac:dyDescent="0.25">
      <c r="E75" s="49"/>
    </row>
    <row r="76" spans="5:5" x14ac:dyDescent="0.25">
      <c r="E76" s="49"/>
    </row>
    <row r="77" spans="5:5" x14ac:dyDescent="0.25">
      <c r="E77" s="49"/>
    </row>
    <row r="78" spans="5:5" x14ac:dyDescent="0.25">
      <c r="E78" s="49"/>
    </row>
    <row r="79" spans="5:5" x14ac:dyDescent="0.25">
      <c r="E79" s="49"/>
    </row>
    <row r="80" spans="5:5" x14ac:dyDescent="0.25">
      <c r="E80" s="49"/>
    </row>
    <row r="81" spans="5:5" x14ac:dyDescent="0.25">
      <c r="E81" s="49"/>
    </row>
    <row r="82" spans="5:5" x14ac:dyDescent="0.25">
      <c r="E82" s="49"/>
    </row>
    <row r="83" spans="5:5" x14ac:dyDescent="0.25">
      <c r="E83" s="49"/>
    </row>
    <row r="84" spans="5:5" x14ac:dyDescent="0.25">
      <c r="E84" s="49"/>
    </row>
    <row r="85" spans="5:5" x14ac:dyDescent="0.25">
      <c r="E85" s="49"/>
    </row>
    <row r="86" spans="5:5" x14ac:dyDescent="0.25">
      <c r="E86" s="49"/>
    </row>
    <row r="87" spans="5:5" x14ac:dyDescent="0.25">
      <c r="E87" s="49"/>
    </row>
  </sheetData>
  <mergeCells count="5">
    <mergeCell ref="D1:E1"/>
    <mergeCell ref="A3:F3"/>
    <mergeCell ref="A14:F14"/>
    <mergeCell ref="A16:B16"/>
    <mergeCell ref="A18:F1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891AC-8A78-4842-8F7C-034209639C20}">
  <dimension ref="A5:E9"/>
  <sheetViews>
    <sheetView tabSelected="1" workbookViewId="0">
      <selection activeCell="D15" sqref="D15"/>
    </sheetView>
  </sheetViews>
  <sheetFormatPr defaultRowHeight="15" x14ac:dyDescent="0.25"/>
  <cols>
    <col min="1" max="1" width="10.85546875" customWidth="1"/>
    <col min="2" max="2" width="20" customWidth="1"/>
    <col min="3" max="3" width="10.85546875" customWidth="1"/>
    <col min="4" max="4" width="24.5703125" customWidth="1"/>
    <col min="5" max="5" width="21.140625" customWidth="1"/>
  </cols>
  <sheetData>
    <row r="5" spans="1:5" x14ac:dyDescent="0.25">
      <c r="A5" s="96" t="s">
        <v>188</v>
      </c>
      <c r="B5" s="96"/>
      <c r="C5" s="96"/>
      <c r="D5" s="96"/>
      <c r="E5" s="96"/>
    </row>
    <row r="8" spans="1:5" x14ac:dyDescent="0.25">
      <c r="A8" s="69" t="s">
        <v>182</v>
      </c>
      <c r="B8" s="69" t="s">
        <v>183</v>
      </c>
      <c r="C8" s="69" t="s">
        <v>185</v>
      </c>
      <c r="D8" s="69" t="s">
        <v>186</v>
      </c>
      <c r="E8" s="69" t="s">
        <v>99</v>
      </c>
    </row>
    <row r="9" spans="1:5" ht="30.75" customHeight="1" x14ac:dyDescent="0.25">
      <c r="A9" s="70">
        <v>140020</v>
      </c>
      <c r="B9" s="70" t="s">
        <v>184</v>
      </c>
      <c r="C9" s="71">
        <v>20000</v>
      </c>
      <c r="D9" s="70">
        <v>300011</v>
      </c>
      <c r="E9" s="70" t="s">
        <v>187</v>
      </c>
    </row>
  </sheetData>
  <mergeCells count="1">
    <mergeCell ref="A5:E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Дундговь ТГМ</vt:lpstr>
      <vt:lpstr>Дундговь 5 сарын цалин</vt:lpstr>
      <vt:lpstr>өглөгийн мэдээ</vt:lpstr>
      <vt:lpstr>орлого</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dcterms:created xsi:type="dcterms:W3CDTF">2020-06-02T05:45:38Z</dcterms:created>
  <dcterms:modified xsi:type="dcterms:W3CDTF">2020-06-02T06:40:49Z</dcterms:modified>
</cp:coreProperties>
</file>